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6" yWindow="240" windowWidth="15530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<sst xmlns="http://schemas.openxmlformats.org/spreadsheetml/2006/main" count="223" uniqueCount="223">
  <si>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</si>
  <si>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</si>
  <si>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</si>
  <si>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</si>
  <si>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</si>
  <si>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</si>
  <si>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</si>
  <si>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</si>
  <si>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</si>
  <si>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</si>
  <si>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</si>
  <si>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</si>
  <si>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</si>
  <si>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</si>
  <si>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</si>
  <si>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</si>
  <si>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</si>
  <si>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</si>
  <si>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</si>
  <si>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</si>
  <si>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</si>
  <si>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</si>
  <si>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</si>
  <si>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</si>
  <si>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</si>
  <si>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</si>
  <si>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</si>
  <si>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</si>
  <si>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</si>
  <si>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</si>
  <si>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</si>
  <si>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</si>
  <si>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</si>
  <si>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</si>
  <si>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</si>
  <si>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</si>
  <si>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</si>
  <si>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</si>
  <si>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</si>
  <si>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</si>
  <si>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</si>
  <si>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</si>
  <si>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</si>
  <si>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</si>
  <si>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</si>
  <si>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</si>
  <si>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</si>
  <si>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</si>
  <si>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</si>
  <si>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</si>
  <si>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</si>
  <si>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</si>
  <si>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</si>
  <si>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</si>
  <si>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</si>
  <si>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</si>
  <si>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</si>
  <si>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</si>
  <si>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</si>
  <si>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</si>
  <si>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</si>
  <si>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</si>
  <si>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</si>
  <si>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</si>
  <si>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</si>
  <si>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</si>
  <si>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</si>
  <si>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</si>
  <si>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</si>
  <si>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</si>
  <si>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</si>
  <si>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</si>
  <si>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</si>
  <si>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</si>
  <si>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</si>
  <si>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</si>
  <si>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</si>
  <si>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</si>
  <si>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</si>
  <si>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</si>
  <si>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</si>
  <si>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</si>
  <si>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</si>
  <si>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</si>
  <si>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</si>
  <si>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</si>
  <si>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</si>
  <si>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</si>
  <si>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</si>
  <si>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</si>
  <si>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</si>
  <si>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</si>
  <si>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</si>
  <si>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</si>
  <si>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</si>
  <si>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</si>
  <si>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</si>
  <si>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</si>
  <si>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</si>
  <si>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</si>
  <si>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</si>
  <si>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</si>
  <si>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</si>
  <si>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</si>
  <si>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</si>
  <si>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</si>
  <si>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</si>
  <si>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</si>
  <si>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</si>
  <si>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</si>
  <si>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</si>
  <si>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</si>
  <si>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</si>
  <si>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</si>
  <si>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</si>
  <si>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</si>
  <si>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</si>
  <si>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</si>
  <si>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</si>
  <si>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</si>
  <si>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</si>
  <si>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</si>
  <si>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</si>
  <si>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</si>
  <si>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</si>
  <si>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</si>
  <si>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</si>
  <si>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</si>
  <si>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</si>
  <si>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</si>
  <si>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</si>
  <si>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</si>
  <si>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</si>
  <si>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</si>
  <si>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</si>
  <si>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</si>
  <si>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</si>
  <si>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</si>
  <si>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</si>
  <si>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</si>
  <si>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</si>
  <si>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</si>
  <si>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</si>
  <si>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</si>
  <si>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</si>
  <si>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</si>
  <si>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</si>
  <si>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</si>
  <si>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</si>
  <si>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</si>
  <si>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</si>
  <si>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</si>
  <si>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</si>
  <si>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</si>
  <si>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</si>
  <si>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</si>
  <si>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</si>
  <si>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</si>
  <si>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</si>
  <si>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</si>
  <si>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</si>
  <si>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</si>
  <si>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</si>
  <si>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</si>
  <si>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</si>
  <si>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</si>
  <si>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</si>
  <si>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>Капітальний ремонт житлового будинку №2 по вул. Сержанта Смірнова  (заміна вікон та дверей)</t>
  </si>
  <si>
    <t>ремонт міських кладовищ до Поминальних днів (фінансова підтримка КП "Комбінат комунальних підприємств")</t>
  </si>
  <si>
    <t>відведення земельної ділянки орієнтовною площею 4,00 га в постійне користування по вул. Промисловій під будівництво кладовища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</si>
  <si>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</si>
  <si>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>Капітальний ремонт прибудинкової території (дитячий майданчик) за адресою: вул. Небесної Сотні 45</t>
  </si>
  <si>
    <t xml:space="preserve">Капітальний ремонт прибудинкової території (дитячий спортивний майданчик) житлового будинку № 29 по вул. Г. Дніпра, м. Черкаси </t>
  </si>
  <si>
    <t>Капітальний ремонт житлового будинку №143/4 по вул. Нижня Горова (утеплення)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</si>
  <si>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</si>
  <si>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</si>
  <si>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</si>
  <si>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</si>
  <si>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прибудинкової території (дитячий майданчик) за адресою: вул. Ярославська, 24</t>
  </si>
  <si>
    <t xml:space="preserve">Капітальний ремонт житлового будинку №57 по вул. Різдвяна (заміна вікон) 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</si>
  <si>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</si>
  <si>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</si>
  <si>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№43 по вул. Різдвяна (інженерні мережі)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</si>
  <si>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</si>
  <si>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№43/1 по вул. Різдвяна (покрівля)</t>
  </si>
  <si>
    <t xml:space="preserve">Капітальний ремонт житлового будинку №43 по вул. Різдвяна (покрівля) 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</si>
  <si>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</si>
  <si>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</si>
  <si>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№50 по вул. Толстого (покрівля)</t>
  </si>
  <si>
    <t>1.49</t>
  </si>
  <si>
    <t>Капітальний ремонт житлового будинку №50 по вул. Толстого (заміна вікон)</t>
  </si>
  <si>
    <t>1.50</t>
  </si>
  <si>
    <t>1.51</t>
  </si>
  <si>
    <t>1.52</t>
  </si>
  <si>
    <t>Капітальний ремонт житлового будинку №78 по вул. Толстого (заміна вікон)</t>
  </si>
  <si>
    <t>1.53</t>
  </si>
  <si>
    <t>1.54</t>
  </si>
  <si>
    <t>1.55</t>
  </si>
  <si>
    <t>Капітальний ремонт житлового будинку №9а по вул. Чехова (інженерні мережі)</t>
  </si>
  <si>
    <t>1.56</t>
  </si>
  <si>
    <t>Капітальний ремонт житлового будинку № 3 по вул. Максима Залізняка (покрівля)</t>
  </si>
  <si>
    <t>1.57</t>
  </si>
  <si>
    <t>1.58</t>
  </si>
  <si>
    <t>Надання співфінансування ОСББ  на виконання капітальних ремонтів:                                                                                                         -енергозберігаючі заходи;                                                                                             -інші види робіт (покрівлі, інженерні мережі і т.п.)</t>
  </si>
  <si>
    <t>Капітальний ремонт житлового будинку №103 по вул. Нижня Горова (покрівля)</t>
  </si>
  <si>
    <t>Капітальний ремонт житлового будинку № 214 по вул. Благовісна (інженерні мережі)</t>
  </si>
  <si>
    <t>Капітальний ремонт житлового будинку №220 по вул. Благовісна  (інженерні мережі )</t>
  </si>
  <si>
    <t>7.</t>
  </si>
  <si>
    <t>7.1</t>
  </si>
  <si>
    <t>8.</t>
  </si>
  <si>
    <t>8.1</t>
  </si>
  <si>
    <t>Забезпечення діяльності водопровідно-каналізаційного господарства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</si>
  <si>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парків"), з них:</t>
  </si>
  <si>
    <t>послуга встановлення волейбольного обладнання (утримання та оновлення майна парків та скверів)</t>
  </si>
  <si>
    <t>Фінансова підтримка КП "Черкасиводоканал" на погашення заборгованості по гарантійним зобов'язанням перед Черкаською міською радою за Гарантією Черкаської міської ради  від 10.09.2009 №2 до договору про субкредитування від 29.12.2009 р. № 28010 -02/144, укладеному в рамках впровадження Проекту розвитку міської інфраструктури(Угода про позику між Україною та МБРР від 26.05.2008 № 4869-UA).</t>
  </si>
  <si>
    <t>поточний ремонт адмінбудівлі в парку "Перемога", послуги з поточного ремонту дитячих майданчиків, лав (утримання та оновлення майна парків та скверів)</t>
  </si>
  <si>
    <t>утримання системи поливу парку-пам'ятки  садово-паркового мистецтва місцевого значення Долина Троянд (утримання зелених насаджень та зеллених зон)</t>
  </si>
  <si>
    <t>Інша діяльність, пов'язана з експлуатацією об'єктів житлово-комунального господарства</t>
  </si>
  <si>
    <t xml:space="preserve">Капітальний ремонт житлового будинку №115 по вул. Нижня Горова (інженерні мережі) </t>
  </si>
  <si>
    <t>Забезпечення діяльності з виробництва, транспортування, постачання теплової енергії</t>
  </si>
  <si>
    <t>утримання та лікування безпритульних тварин , що знаходяться у комунальних притулках (харчування, лікування, прибирання) (фінансова підтримка КП "Черкаська служба чистоти")</t>
  </si>
  <si>
    <t>Фінансова підтримка КПТМ "Черкаситеплокомуненерго" на погашення заборгованості по гарантійним зобов'язанням перед Черкаською міською радою за  Угодою про гарантії та відшкодування від 10.01.2008 ( зі змінами та викладенням у новій редакції від 16.12.2015) до Кредитної Угоди від 10.01.2008 (зі змінами та викладенням у новій редакції від 29.07.2015) між  КПТМ «Черкаситеплокомуненерго»  та ЄБРР</t>
  </si>
  <si>
    <t>Профінансовано станом на 21.12.2018 року, грн.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</si>
</sst>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  <numFmt numFmtId="218" formatCode="#,##0.00\ &quot;₽&quot;;[Red]#,##0.00\ &quot;₽&quot;"/>
    <numFmt numFmtId="219" formatCode="#,##0.00\ _₽;[Red]#,##0.00\ _₽"/>
    <numFmt numFmtId="220" formatCode="#,##0.00;[Red]#,##0.00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i/>
      <sz val="10"/>
      <color indexed="8"/>
      <name val="Times New Roman"/>
      <family val="1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2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53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54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6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5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5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6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8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59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6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5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8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0" fontId="39" fillId="53" borderId="18" xfId="0" applyFont="1" applyFill="1" applyBorder="1" applyAlignment="1">
      <alignment horizontal="left" vertical="center" wrapText="1"/>
    </xf>
    <xf numFmtId="49" fontId="34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9" fontId="34" fillId="52" borderId="20" xfId="0" applyNumberFormat="1" applyFont="1" applyFill="1" applyBorder="1" applyAlignment="1">
      <alignment horizontal="center" vertical="center" wrapText="1"/>
    </xf>
    <xf numFmtId="194" fontId="40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191" fontId="34" fillId="52" borderId="20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4" fontId="37" fillId="0" borderId="18" xfId="0" applyNumberFormat="1" applyFont="1" applyFill="1" applyBorder="1" applyAlignment="1">
      <alignment horizontal="center" vertical="center" wrapText="1"/>
    </xf>
    <xf numFmtId="4" fontId="39" fillId="0" borderId="18" xfId="0" applyNumberFormat="1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/>
    </xf>
    <xf numFmtId="191" fontId="40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185" fontId="38" fillId="53" borderId="18" xfId="162" applyNumberFormat="1" applyFont="1" applyFill="1" applyBorder="1" applyAlignment="1">
      <alignment horizontal="left" vertical="center" wrapText="1"/>
      <protection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4" fillId="52" borderId="21" xfId="0" applyFont="1" applyFill="1" applyBorder="1" applyAlignment="1">
      <alignment horizontal="left" vertical="center" wrapText="1"/>
    </xf>
    <xf numFmtId="0" fontId="37" fillId="0" borderId="21" xfId="0" applyFont="1" applyFill="1" applyBorder="1" applyAlignment="1">
      <alignment horizontal="left" vertical="center" wrapText="1"/>
    </xf>
    <xf numFmtId="0" fontId="39" fillId="0" borderId="21" xfId="0" applyFont="1" applyFill="1" applyBorder="1" applyAlignment="1">
      <alignment horizontal="left" vertical="center" wrapText="1"/>
    </xf>
    <xf numFmtId="185" fontId="40" fillId="53" borderId="18" xfId="162" applyNumberFormat="1" applyFont="1" applyFill="1" applyBorder="1" applyAlignment="1">
      <alignment horizontal="left" vertical="center" wrapText="1"/>
      <protection/>
    </xf>
    <xf numFmtId="0" fontId="39" fillId="0" borderId="0" xfId="0" applyFont="1" applyFill="1" applyBorder="1" applyAlignment="1">
      <alignment horizontal="left" vertical="center" wrapText="1"/>
    </xf>
    <xf numFmtId="0" fontId="37" fillId="52" borderId="21" xfId="0" applyFont="1" applyFill="1" applyBorder="1" applyAlignment="1">
      <alignment horizontal="left" vertical="center" wrapText="1"/>
    </xf>
    <xf numFmtId="4" fontId="40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0" fillId="0" borderId="18" xfId="0" applyNumberFormat="1" applyFont="1" applyFill="1" applyBorder="1" applyAlignment="1">
      <alignment horizontal="center" vertical="center"/>
    </xf>
    <xf numFmtId="4" fontId="20" fillId="52" borderId="22" xfId="0" applyNumberFormat="1" applyFont="1" applyFill="1" applyBorder="1" applyAlignment="1">
      <alignment horizontal="center" vertical="center"/>
    </xf>
    <xf numFmtId="4" fontId="38" fillId="0" borderId="22" xfId="0" applyNumberFormat="1" applyFont="1" applyFill="1" applyBorder="1" applyAlignment="1">
      <alignment horizontal="center" vertical="center"/>
    </xf>
    <xf numFmtId="191" fontId="20" fillId="52" borderId="2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91" fontId="0" fillId="0" borderId="22" xfId="0" applyNumberFormat="1" applyFill="1" applyBorder="1" applyAlignment="1">
      <alignment horizontal="center" vertical="center"/>
    </xf>
    <xf numFmtId="191" fontId="28" fillId="0" borderId="22" xfId="0" applyNumberFormat="1" applyFont="1" applyFill="1" applyBorder="1" applyAlignment="1">
      <alignment horizontal="center" vertical="center"/>
    </xf>
    <xf numFmtId="191" fontId="33" fillId="0" borderId="22" xfId="0" applyNumberFormat="1" applyFont="1" applyFill="1" applyBorder="1" applyAlignment="1">
      <alignment horizontal="center" vertical="center"/>
    </xf>
    <xf numFmtId="191" fontId="40" fillId="0" borderId="22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194" fontId="40" fillId="0" borderId="22" xfId="0" applyNumberFormat="1" applyFont="1" applyFill="1" applyBorder="1" applyAlignment="1">
      <alignment horizontal="center" vertical="center"/>
    </xf>
    <xf numFmtId="0" fontId="27" fillId="52" borderId="22" xfId="0" applyFont="1" applyFill="1" applyBorder="1" applyAlignment="1">
      <alignment horizontal="center" vertical="center"/>
    </xf>
    <xf numFmtId="186" fontId="28" fillId="0" borderId="22" xfId="0" applyNumberFormat="1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38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0" fillId="55" borderId="18" xfId="0" applyNumberFormat="1" applyFont="1" applyFill="1" applyBorder="1" applyAlignment="1">
      <alignment horizontal="center" vertical="center"/>
    </xf>
    <xf numFmtId="4" fontId="38" fillId="0" borderId="18" xfId="0" applyNumberFormat="1" applyFont="1" applyFill="1" applyBorder="1" applyAlignment="1">
      <alignment horizontal="center" vertical="center"/>
    </xf>
    <xf numFmtId="2" fontId="20" fillId="54" borderId="20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 wrapText="1"/>
    </xf>
    <xf numFmtId="4" fontId="30" fillId="55" borderId="18" xfId="0" applyNumberFormat="1" applyFont="1" applyFill="1" applyBorder="1" applyAlignment="1">
      <alignment horizontal="center" vertical="center" wrapText="1"/>
    </xf>
    <xf numFmtId="219" fontId="37" fillId="0" borderId="18" xfId="0" applyNumberFormat="1" applyFont="1" applyFill="1" applyBorder="1" applyAlignment="1">
      <alignment horizontal="center" vertical="center" wrapText="1"/>
    </xf>
    <xf numFmtId="219" fontId="33" fillId="0" borderId="18" xfId="0" applyNumberFormat="1" applyFont="1" applyFill="1" applyBorder="1" applyAlignment="1">
      <alignment horizontal="center"/>
    </xf>
    <xf numFmtId="219" fontId="33" fillId="0" borderId="18" xfId="0" applyNumberFormat="1" applyFont="1" applyFill="1" applyBorder="1" applyAlignment="1">
      <alignment horizontal="center" vertical="center"/>
    </xf>
    <xf numFmtId="219" fontId="0" fillId="0" borderId="18" xfId="0" applyNumberFormat="1" applyFill="1" applyBorder="1" applyAlignment="1">
      <alignment/>
    </xf>
    <xf numFmtId="219" fontId="34" fillId="52" borderId="20" xfId="0" applyNumberFormat="1" applyFont="1" applyFill="1" applyBorder="1" applyAlignment="1">
      <alignment horizontal="center" vertical="center" wrapText="1"/>
    </xf>
    <xf numFmtId="219" fontId="4" fillId="0" borderId="18" xfId="0" applyNumberFormat="1" applyFont="1" applyFill="1" applyBorder="1" applyAlignment="1">
      <alignment/>
    </xf>
    <xf numFmtId="219" fontId="34" fillId="52" borderId="18" xfId="0" applyNumberFormat="1" applyFont="1" applyFill="1" applyBorder="1" applyAlignment="1">
      <alignment horizontal="center" vertical="center" wrapText="1"/>
    </xf>
    <xf numFmtId="0" fontId="34" fillId="54" borderId="0" xfId="0" applyFont="1" applyFill="1" applyBorder="1" applyAlignment="1">
      <alignment horizontal="center" vertical="center" wrapText="1"/>
    </xf>
    <xf numFmtId="191" fontId="34" fillId="54" borderId="20" xfId="0" applyNumberFormat="1" applyFont="1" applyFill="1" applyBorder="1" applyAlignment="1">
      <alignment horizontal="center" vertical="center" wrapText="1"/>
    </xf>
    <xf numFmtId="0" fontId="27" fillId="54" borderId="18" xfId="0" applyFont="1" applyFill="1" applyBorder="1" applyAlignment="1">
      <alignment horizontal="center" vertical="center"/>
    </xf>
    <xf numFmtId="0" fontId="20" fillId="54" borderId="18" xfId="0" applyFont="1" applyFill="1" applyBorder="1" applyAlignment="1">
      <alignment horizontal="center" vertical="center" wrapText="1"/>
    </xf>
    <xf numFmtId="4" fontId="20" fillId="54" borderId="18" xfId="0" applyNumberFormat="1" applyFont="1" applyFill="1" applyBorder="1" applyAlignment="1">
      <alignment horizontal="center" vertical="center"/>
    </xf>
    <xf numFmtId="4" fontId="20" fillId="54" borderId="20" xfId="0" applyNumberFormat="1" applyFont="1" applyFill="1" applyBorder="1" applyAlignment="1">
      <alignment horizontal="center" vertical="center"/>
    </xf>
    <xf numFmtId="185" fontId="38" fillId="55" borderId="18" xfId="162" applyNumberFormat="1" applyFont="1" applyFill="1" applyBorder="1" applyAlignment="1">
      <alignment horizontal="left" vertical="center" wrapText="1"/>
      <protection/>
    </xf>
    <xf numFmtId="0" fontId="38" fillId="55" borderId="18" xfId="0" applyFont="1" applyFill="1" applyBorder="1" applyAlignment="1">
      <alignment horizontal="center" vertical="center"/>
    </xf>
    <xf numFmtId="0" fontId="28" fillId="55" borderId="18" xfId="0" applyFont="1" applyFill="1" applyBorder="1" applyAlignment="1">
      <alignment horizontal="center" vertical="center" wrapText="1"/>
    </xf>
    <xf numFmtId="4" fontId="38" fillId="55" borderId="18" xfId="162" applyNumberFormat="1" applyFont="1" applyFill="1" applyBorder="1" applyAlignment="1">
      <alignment horizontal="center" vertical="center"/>
      <protection/>
    </xf>
    <xf numFmtId="4" fontId="38" fillId="55" borderId="18" xfId="0" applyNumberFormat="1" applyFont="1" applyFill="1" applyBorder="1" applyAlignment="1">
      <alignment horizontal="center" vertical="center"/>
    </xf>
    <xf numFmtId="219" fontId="38" fillId="55" borderId="18" xfId="0" applyNumberFormat="1" applyFont="1" applyFill="1" applyBorder="1" applyAlignment="1">
      <alignment horizontal="center" vertical="center"/>
    </xf>
    <xf numFmtId="219" fontId="38" fillId="55" borderId="18" xfId="0" applyNumberFormat="1" applyFont="1" applyFill="1" applyBorder="1" applyAlignment="1">
      <alignment vertical="center"/>
    </xf>
    <xf numFmtId="0" fontId="30" fillId="55" borderId="28" xfId="0" applyFont="1" applyFill="1" applyBorder="1" applyAlignment="1">
      <alignment horizontal="left" vertical="center" wrapText="1"/>
    </xf>
    <xf numFmtId="49" fontId="30" fillId="55" borderId="28" xfId="0" applyNumberFormat="1" applyFont="1" applyFill="1" applyBorder="1" applyAlignment="1">
      <alignment horizontal="left" vertical="center" wrapText="1"/>
    </xf>
    <xf numFmtId="0" fontId="38" fillId="55" borderId="18" xfId="0" applyFont="1" applyFill="1" applyBorder="1" applyAlignment="1">
      <alignment horizontal="left" wrapText="1"/>
    </xf>
    <xf numFmtId="0" fontId="38" fillId="55" borderId="18" xfId="0" applyFont="1" applyFill="1" applyBorder="1" applyAlignment="1">
      <alignment wrapText="1"/>
    </xf>
    <xf numFmtId="0" fontId="30" fillId="55" borderId="18" xfId="0" applyFont="1" applyFill="1" applyBorder="1" applyAlignment="1">
      <alignment horizontal="left" vertical="center" wrapText="1"/>
    </xf>
    <xf numFmtId="0" fontId="30" fillId="0" borderId="21" xfId="0" applyFont="1" applyFill="1" applyBorder="1" applyAlignment="1">
      <alignment horizontal="left" vertical="center" wrapText="1"/>
    </xf>
    <xf numFmtId="219" fontId="33" fillId="55" borderId="18" xfId="0" applyNumberFormat="1" applyFont="1" applyFill="1" applyBorder="1" applyAlignment="1">
      <alignment horizontal="center" vertical="center"/>
    </xf>
    <xf numFmtId="219" fontId="33" fillId="55" borderId="18" xfId="0" applyNumberFormat="1" applyFont="1" applyFill="1" applyBorder="1" applyAlignment="1">
      <alignment horizontal="center"/>
    </xf>
    <xf numFmtId="0" fontId="39" fillId="0" borderId="29" xfId="0" applyFont="1" applyFill="1" applyBorder="1" applyAlignment="1">
      <alignment horizontal="left" vertical="center" wrapText="1"/>
    </xf>
    <xf numFmtId="49" fontId="30" fillId="54" borderId="18" xfId="0" applyNumberFormat="1" applyFont="1" applyFill="1" applyBorder="1" applyAlignment="1">
      <alignment horizontal="center" vertical="center"/>
    </xf>
    <xf numFmtId="0" fontId="37" fillId="54" borderId="18" xfId="0" applyFont="1" applyFill="1" applyBorder="1" applyAlignment="1">
      <alignment horizontal="left" vertical="center" wrapText="1"/>
    </xf>
    <xf numFmtId="186" fontId="40" fillId="54" borderId="18" xfId="0" applyNumberFormat="1" applyFont="1" applyFill="1" applyBorder="1" applyAlignment="1">
      <alignment horizontal="center" vertical="center"/>
    </xf>
    <xf numFmtId="0" fontId="38" fillId="54" borderId="22" xfId="0" applyFont="1" applyFill="1" applyBorder="1" applyAlignment="1">
      <alignment horizontal="center" vertical="center"/>
    </xf>
    <xf numFmtId="219" fontId="33" fillId="54" borderId="18" xfId="0" applyNumberFormat="1" applyFont="1" applyFill="1" applyBorder="1" applyAlignment="1">
      <alignment horizontal="center"/>
    </xf>
    <xf numFmtId="2" fontId="38" fillId="54" borderId="18" xfId="0" applyNumberFormat="1" applyFont="1" applyFill="1" applyBorder="1" applyAlignment="1">
      <alignment horizontal="center" vertical="center"/>
    </xf>
    <xf numFmtId="4" fontId="37" fillId="54" borderId="18" xfId="0" applyNumberFormat="1" applyFont="1" applyFill="1" applyBorder="1" applyAlignment="1">
      <alignment horizontal="center" vertical="center" wrapText="1"/>
    </xf>
    <xf numFmtId="0" fontId="28" fillId="54" borderId="18" xfId="0" applyFont="1" applyFill="1" applyBorder="1" applyAlignment="1">
      <alignment horizontal="center" vertical="center"/>
    </xf>
    <xf numFmtId="0" fontId="37" fillId="54" borderId="20" xfId="0" applyFont="1" applyFill="1" applyBorder="1" applyAlignment="1">
      <alignment horizontal="left" vertical="center" wrapText="1"/>
    </xf>
    <xf numFmtId="216" fontId="38" fillId="55" borderId="18" xfId="0" applyNumberFormat="1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left" vertical="center" wrapText="1"/>
    </xf>
    <xf numFmtId="2" fontId="33" fillId="55" borderId="18" xfId="0" applyNumberFormat="1" applyFont="1" applyFill="1" applyBorder="1" applyAlignment="1">
      <alignment horizontal="center" vertical="center"/>
    </xf>
    <xf numFmtId="2" fontId="4" fillId="55" borderId="18" xfId="0" applyNumberFormat="1" applyFont="1" applyFill="1" applyBorder="1" applyAlignment="1">
      <alignment horizontal="center" vertical="center"/>
    </xf>
    <xf numFmtId="219" fontId="0" fillId="0" borderId="18" xfId="0" applyNumberFormat="1" applyFont="1" applyFill="1" applyBorder="1" applyAlignment="1">
      <alignment horizontal="center" vertical="center"/>
    </xf>
    <xf numFmtId="0" fontId="38" fillId="55" borderId="18" xfId="0" applyFont="1" applyFill="1" applyBorder="1" applyAlignment="1">
      <alignment vertical="top" wrapText="1"/>
    </xf>
    <xf numFmtId="185" fontId="38" fillId="53" borderId="22" xfId="162" applyNumberFormat="1" applyFont="1" applyFill="1" applyBorder="1" applyAlignment="1">
      <alignment horizontal="left" vertical="center" wrapText="1"/>
      <protection/>
    </xf>
    <xf numFmtId="0" fontId="4" fillId="0" borderId="30" xfId="0" applyFon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4" fillId="52" borderId="18" xfId="0" applyFont="1" applyFill="1" applyBorder="1" applyAlignment="1">
      <alignment horizontal="center" vertical="center" wrapText="1"/>
    </xf>
    <xf numFmtId="0" fontId="34" fillId="52" borderId="2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34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29" fillId="0" borderId="3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33" xfId="0" applyBorder="1" applyAlignment="1">
      <alignment horizontal="center" vertical="center" wrapText="1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1"/>
  <sheetViews>
    <sheetView tabSelected="1" zoomScale="90" zoomScaleNormal="90" zoomScalePageLayoutView="0" workbookViewId="0" topLeftCell="A1">
      <selection activeCell="AF4" sqref="AF4:AF5"/>
    </sheetView>
  </sheetViews>
  <sheetFormatPr defaultColWidth="8.66015625" defaultRowHeight="12.75"/>
  <cols>
    <col min="1" max="1" width="8.33203125" style="21" customWidth="1"/>
    <col min="2" max="2" width="68" style="2" customWidth="1"/>
    <col min="3" max="3" width="21.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7.33203125" style="6" customWidth="1"/>
    <col min="30" max="30" width="18.5" style="1" customWidth="1"/>
    <col min="31" max="31" width="19.16015625" style="1" customWidth="1"/>
    <col min="32" max="32" width="18.83203125" style="1" customWidth="1"/>
    <col min="33" max="33" width="14.66015625" style="1" bestFit="1" customWidth="1"/>
    <col min="34" max="16384" width="8.66015625" style="1" customWidth="1"/>
  </cols>
  <sheetData>
    <row r="1" ht="9.75" customHeight="1">
      <c r="AE1" s="30"/>
    </row>
    <row r="2" spans="1:31" ht="20.25" customHeight="1">
      <c r="A2" s="141" t="s">
        <v>23</v>
      </c>
      <c r="B2" s="141"/>
      <c r="C2" s="141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</row>
    <row r="3" spans="2:30" ht="6.75" customHeight="1" thickBot="1">
      <c r="B3" s="7"/>
      <c r="C3" s="7"/>
      <c r="AD3" s="18"/>
    </row>
    <row r="4" spans="1:33" ht="12.75">
      <c r="A4" s="143" t="s">
        <v>15</v>
      </c>
      <c r="B4" s="145" t="s">
        <v>16</v>
      </c>
      <c r="C4" s="147" t="s">
        <v>34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148" t="s">
        <v>64</v>
      </c>
      <c r="AD4" s="136" t="s">
        <v>65</v>
      </c>
      <c r="AE4" s="83" t="s">
        <v>129</v>
      </c>
      <c r="AF4" s="136" t="s">
        <v>222</v>
      </c>
      <c r="AG4" s="134" t="s">
        <v>166</v>
      </c>
    </row>
    <row r="5" spans="1:33" ht="41.25" customHeight="1" thickBot="1">
      <c r="A5" s="144"/>
      <c r="B5" s="146"/>
      <c r="C5" s="146"/>
      <c r="D5" s="84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6"/>
      <c r="AC5" s="149"/>
      <c r="AD5" s="150"/>
      <c r="AE5" s="87" t="s">
        <v>128</v>
      </c>
      <c r="AF5" s="137"/>
      <c r="AG5" s="135"/>
    </row>
    <row r="6" spans="1:33" ht="30">
      <c r="A6" s="31" t="s">
        <v>27</v>
      </c>
      <c r="B6" s="96" t="s">
        <v>82</v>
      </c>
      <c r="C6" s="97">
        <f>AD6</f>
        <v>32345464.439999998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9"/>
      <c r="AD6" s="100">
        <f>SUM(AD7:AD64)</f>
        <v>32345464.439999998</v>
      </c>
      <c r="AE6" s="100">
        <f>AD6</f>
        <v>32345464.439999998</v>
      </c>
      <c r="AF6" s="101">
        <f>SUM(AF7:AF64)</f>
        <v>12346187.21</v>
      </c>
      <c r="AG6" s="81">
        <f>AF6/C6*100</f>
        <v>38.16976328443779</v>
      </c>
    </row>
    <row r="7" spans="1:33" ht="42">
      <c r="A7" s="20" t="s">
        <v>2</v>
      </c>
      <c r="B7" s="102" t="s">
        <v>170</v>
      </c>
      <c r="C7" s="88">
        <f>AD7</f>
        <v>22979</v>
      </c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4"/>
      <c r="AD7" s="105">
        <f>AE7</f>
        <v>22979</v>
      </c>
      <c r="AE7" s="106">
        <v>22979</v>
      </c>
      <c r="AF7" s="107"/>
      <c r="AG7" s="77">
        <f>AF7/C7*100</f>
        <v>0</v>
      </c>
    </row>
    <row r="8" spans="1:33" ht="27.75">
      <c r="A8" s="20" t="s">
        <v>48</v>
      </c>
      <c r="B8" s="102" t="s">
        <v>171</v>
      </c>
      <c r="C8" s="88">
        <f aca="true" t="shared" si="0" ref="C8:C64">AD8</f>
        <v>76000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4"/>
      <c r="AD8" s="105">
        <f aca="true" t="shared" si="1" ref="AD8:AD64">AE8</f>
        <v>76000</v>
      </c>
      <c r="AE8" s="106">
        <v>76000</v>
      </c>
      <c r="AF8" s="107">
        <f>54640+20812.6</f>
        <v>75452.6</v>
      </c>
      <c r="AG8" s="77">
        <f aca="true" t="shared" si="2" ref="AG8:AG80">AF8/C8*100</f>
        <v>99.27973684210527</v>
      </c>
    </row>
    <row r="9" spans="1:33" ht="27.75">
      <c r="A9" s="20" t="s">
        <v>49</v>
      </c>
      <c r="B9" s="102" t="s">
        <v>172</v>
      </c>
      <c r="C9" s="88">
        <f t="shared" si="0"/>
        <v>290000</v>
      </c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4"/>
      <c r="AD9" s="105">
        <f t="shared" si="1"/>
        <v>290000</v>
      </c>
      <c r="AE9" s="106">
        <v>290000</v>
      </c>
      <c r="AF9" s="107">
        <v>177500</v>
      </c>
      <c r="AG9" s="77">
        <f t="shared" si="2"/>
        <v>61.206896551724135</v>
      </c>
    </row>
    <row r="10" spans="1:33" ht="27.75">
      <c r="A10" s="20" t="s">
        <v>42</v>
      </c>
      <c r="B10" s="102" t="s">
        <v>66</v>
      </c>
      <c r="C10" s="88">
        <f t="shared" si="0"/>
        <v>539000</v>
      </c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4"/>
      <c r="AD10" s="105">
        <f t="shared" si="1"/>
        <v>539000</v>
      </c>
      <c r="AE10" s="106">
        <v>539000</v>
      </c>
      <c r="AF10" s="107">
        <f>25924.8+300000+66000+4634</f>
        <v>396558.8</v>
      </c>
      <c r="AG10" s="77">
        <f t="shared" si="2"/>
        <v>73.57306122448979</v>
      </c>
    </row>
    <row r="11" spans="1:33" ht="27.75">
      <c r="A11" s="20" t="s">
        <v>43</v>
      </c>
      <c r="B11" s="102" t="s">
        <v>67</v>
      </c>
      <c r="C11" s="88">
        <f t="shared" si="0"/>
        <v>400000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4"/>
      <c r="AD11" s="105">
        <f t="shared" si="1"/>
        <v>400000</v>
      </c>
      <c r="AE11" s="106">
        <v>400000</v>
      </c>
      <c r="AF11" s="107">
        <f>17944.8+373789</f>
        <v>391733.8</v>
      </c>
      <c r="AG11" s="77">
        <f t="shared" si="2"/>
        <v>97.93345</v>
      </c>
    </row>
    <row r="12" spans="1:33" ht="27.75">
      <c r="A12" s="20" t="s">
        <v>18</v>
      </c>
      <c r="B12" s="102" t="s">
        <v>68</v>
      </c>
      <c r="C12" s="88">
        <f t="shared" si="0"/>
        <v>200000</v>
      </c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4"/>
      <c r="AD12" s="105">
        <f t="shared" si="1"/>
        <v>200000</v>
      </c>
      <c r="AE12" s="106">
        <v>200000</v>
      </c>
      <c r="AF12" s="107">
        <v>15099.8</v>
      </c>
      <c r="AG12" s="77">
        <f t="shared" si="2"/>
        <v>7.5499</v>
      </c>
    </row>
    <row r="13" spans="1:33" ht="27.75">
      <c r="A13" s="20" t="s">
        <v>19</v>
      </c>
      <c r="B13" s="102" t="s">
        <v>69</v>
      </c>
      <c r="C13" s="88">
        <f t="shared" si="0"/>
        <v>485000</v>
      </c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4"/>
      <c r="AD13" s="105">
        <f t="shared" si="1"/>
        <v>485000</v>
      </c>
      <c r="AE13" s="106">
        <v>485000</v>
      </c>
      <c r="AF13" s="107">
        <f>33000+309400-177886</f>
        <v>164514</v>
      </c>
      <c r="AG13" s="77">
        <f t="shared" si="2"/>
        <v>33.92041237113402</v>
      </c>
    </row>
    <row r="14" spans="1:33" ht="27.75">
      <c r="A14" s="20" t="s">
        <v>44</v>
      </c>
      <c r="B14" s="102" t="s">
        <v>70</v>
      </c>
      <c r="C14" s="88">
        <f t="shared" si="0"/>
        <v>230000</v>
      </c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4"/>
      <c r="AD14" s="105">
        <f t="shared" si="1"/>
        <v>230000</v>
      </c>
      <c r="AE14" s="106">
        <v>230000</v>
      </c>
      <c r="AF14" s="107">
        <v>10173.24</v>
      </c>
      <c r="AG14" s="77">
        <f t="shared" si="2"/>
        <v>4.423147826086956</v>
      </c>
    </row>
    <row r="15" spans="1:33" ht="27.75">
      <c r="A15" s="20" t="s">
        <v>0</v>
      </c>
      <c r="B15" s="102" t="s">
        <v>205</v>
      </c>
      <c r="C15" s="88">
        <f t="shared" si="0"/>
        <v>100000</v>
      </c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4"/>
      <c r="AD15" s="105">
        <f t="shared" si="1"/>
        <v>100000</v>
      </c>
      <c r="AE15" s="106">
        <v>100000</v>
      </c>
      <c r="AF15" s="107"/>
      <c r="AG15" s="77">
        <f t="shared" si="2"/>
        <v>0</v>
      </c>
    </row>
    <row r="16" spans="1:33" ht="27.75">
      <c r="A16" s="20" t="s">
        <v>25</v>
      </c>
      <c r="B16" s="102" t="s">
        <v>71</v>
      </c>
      <c r="C16" s="88">
        <f t="shared" si="0"/>
        <v>936751</v>
      </c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4"/>
      <c r="AD16" s="105">
        <f t="shared" si="1"/>
        <v>936751</v>
      </c>
      <c r="AE16" s="106">
        <v>936751</v>
      </c>
      <c r="AF16" s="107">
        <f>211800+154504.75+339234.07</f>
        <v>705538.8200000001</v>
      </c>
      <c r="AG16" s="77">
        <f t="shared" si="2"/>
        <v>75.31764791283916</v>
      </c>
    </row>
    <row r="17" spans="1:33" ht="27.75">
      <c r="A17" s="20" t="s">
        <v>50</v>
      </c>
      <c r="B17" s="102" t="s">
        <v>72</v>
      </c>
      <c r="C17" s="88">
        <f t="shared" si="0"/>
        <v>80000</v>
      </c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4"/>
      <c r="AD17" s="105">
        <f t="shared" si="1"/>
        <v>80000</v>
      </c>
      <c r="AE17" s="106">
        <v>80000</v>
      </c>
      <c r="AF17" s="108"/>
      <c r="AG17" s="77">
        <f t="shared" si="2"/>
        <v>0</v>
      </c>
    </row>
    <row r="18" spans="1:33" ht="27.75">
      <c r="A18" s="20" t="s">
        <v>21</v>
      </c>
      <c r="B18" s="102" t="s">
        <v>73</v>
      </c>
      <c r="C18" s="88">
        <f t="shared" si="0"/>
        <v>500000</v>
      </c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4"/>
      <c r="AD18" s="105">
        <f t="shared" si="1"/>
        <v>500000</v>
      </c>
      <c r="AE18" s="106">
        <v>500000</v>
      </c>
      <c r="AF18" s="108"/>
      <c r="AG18" s="77">
        <f t="shared" si="2"/>
        <v>0</v>
      </c>
    </row>
    <row r="19" spans="1:33" ht="27.75">
      <c r="A19" s="20" t="s">
        <v>84</v>
      </c>
      <c r="B19" s="102" t="s">
        <v>74</v>
      </c>
      <c r="C19" s="88">
        <f t="shared" si="0"/>
        <v>500000</v>
      </c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4"/>
      <c r="AD19" s="105">
        <f t="shared" si="1"/>
        <v>500000</v>
      </c>
      <c r="AE19" s="106">
        <v>500000</v>
      </c>
      <c r="AF19" s="107">
        <f>345755.8+120749+5654</f>
        <v>472158.8</v>
      </c>
      <c r="AG19" s="77">
        <f t="shared" si="2"/>
        <v>94.43176</v>
      </c>
    </row>
    <row r="20" spans="1:33" ht="27.75">
      <c r="A20" s="20" t="s">
        <v>85</v>
      </c>
      <c r="B20" s="102" t="s">
        <v>173</v>
      </c>
      <c r="C20" s="88">
        <f t="shared" si="0"/>
        <v>333194</v>
      </c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4"/>
      <c r="AD20" s="105">
        <f t="shared" si="1"/>
        <v>333194</v>
      </c>
      <c r="AE20" s="106">
        <v>333194</v>
      </c>
      <c r="AF20" s="107">
        <f>11397.39</f>
        <v>11397.39</v>
      </c>
      <c r="AG20" s="77">
        <f t="shared" si="2"/>
        <v>3.4206468303750968</v>
      </c>
    </row>
    <row r="21" spans="1:33" ht="27.75">
      <c r="A21" s="20" t="s">
        <v>86</v>
      </c>
      <c r="B21" s="102" t="s">
        <v>218</v>
      </c>
      <c r="C21" s="88">
        <f t="shared" si="0"/>
        <v>176110</v>
      </c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4"/>
      <c r="AD21" s="105">
        <f t="shared" si="1"/>
        <v>176110</v>
      </c>
      <c r="AE21" s="106">
        <v>176110</v>
      </c>
      <c r="AF21" s="107">
        <f>11260+135000</f>
        <v>146260</v>
      </c>
      <c r="AG21" s="77">
        <f t="shared" si="2"/>
        <v>83.0503662483675</v>
      </c>
    </row>
    <row r="22" spans="1:33" ht="27.75">
      <c r="A22" s="20" t="s">
        <v>87</v>
      </c>
      <c r="B22" s="102" t="s">
        <v>174</v>
      </c>
      <c r="C22" s="88">
        <f t="shared" si="0"/>
        <v>100000</v>
      </c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4"/>
      <c r="AD22" s="105">
        <f t="shared" si="1"/>
        <v>100000</v>
      </c>
      <c r="AE22" s="106">
        <v>100000</v>
      </c>
      <c r="AF22" s="107">
        <f>3547+51441</f>
        <v>54988</v>
      </c>
      <c r="AG22" s="77">
        <f t="shared" si="2"/>
        <v>54.98800000000001</v>
      </c>
    </row>
    <row r="23" spans="1:33" ht="27.75">
      <c r="A23" s="20" t="s">
        <v>88</v>
      </c>
      <c r="B23" s="102" t="s">
        <v>175</v>
      </c>
      <c r="C23" s="88">
        <f t="shared" si="0"/>
        <v>100000</v>
      </c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4"/>
      <c r="AD23" s="105">
        <f t="shared" si="1"/>
        <v>100000</v>
      </c>
      <c r="AE23" s="106">
        <v>100000</v>
      </c>
      <c r="AF23" s="107">
        <f>3547+51441</f>
        <v>54988</v>
      </c>
      <c r="AG23" s="77">
        <f t="shared" si="2"/>
        <v>54.98800000000001</v>
      </c>
    </row>
    <row r="24" spans="1:33" ht="27.75">
      <c r="A24" s="20" t="s">
        <v>89</v>
      </c>
      <c r="B24" s="102" t="s">
        <v>176</v>
      </c>
      <c r="C24" s="88">
        <f t="shared" si="0"/>
        <v>250000</v>
      </c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4"/>
      <c r="AD24" s="105">
        <f t="shared" si="1"/>
        <v>250000</v>
      </c>
      <c r="AE24" s="106">
        <v>250000</v>
      </c>
      <c r="AF24" s="107">
        <f>3424.8+150000+818</f>
        <v>154242.8</v>
      </c>
      <c r="AG24" s="77">
        <f t="shared" si="2"/>
        <v>61.69711999999999</v>
      </c>
    </row>
    <row r="25" spans="1:33" ht="27.75">
      <c r="A25" s="20" t="s">
        <v>90</v>
      </c>
      <c r="B25" s="102" t="s">
        <v>177</v>
      </c>
      <c r="C25" s="88">
        <f t="shared" si="0"/>
        <v>234108</v>
      </c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4"/>
      <c r="AD25" s="105">
        <f t="shared" si="1"/>
        <v>234108</v>
      </c>
      <c r="AE25" s="106">
        <v>234108</v>
      </c>
      <c r="AF25" s="107">
        <f>3424.8+155000+66544</f>
        <v>224968.8</v>
      </c>
      <c r="AG25" s="77">
        <f t="shared" si="2"/>
        <v>96.0961607463222</v>
      </c>
    </row>
    <row r="26" spans="1:33" ht="27.75">
      <c r="A26" s="20" t="s">
        <v>91</v>
      </c>
      <c r="B26" s="102" t="s">
        <v>204</v>
      </c>
      <c r="C26" s="88">
        <f t="shared" si="0"/>
        <v>150000</v>
      </c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4"/>
      <c r="AD26" s="105">
        <f t="shared" si="1"/>
        <v>150000</v>
      </c>
      <c r="AE26" s="106">
        <v>150000</v>
      </c>
      <c r="AF26" s="107">
        <f>3424.8+100000+357</f>
        <v>103781.8</v>
      </c>
      <c r="AG26" s="77">
        <f t="shared" si="2"/>
        <v>69.18786666666666</v>
      </c>
    </row>
    <row r="27" spans="1:33" ht="27.75">
      <c r="A27" s="20" t="s">
        <v>92</v>
      </c>
      <c r="B27" s="102" t="s">
        <v>165</v>
      </c>
      <c r="C27" s="88">
        <f t="shared" si="0"/>
        <v>1300000</v>
      </c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4"/>
      <c r="AD27" s="105">
        <f t="shared" si="1"/>
        <v>1300000</v>
      </c>
      <c r="AE27" s="106">
        <v>1300000</v>
      </c>
      <c r="AF27" s="107">
        <f>48851+614686+4003.69+352842.33+13646.62+49043.4+173401.32</f>
        <v>1256474.36</v>
      </c>
      <c r="AG27" s="77">
        <f t="shared" si="2"/>
        <v>96.65187384615386</v>
      </c>
    </row>
    <row r="28" spans="1:33" ht="27.75">
      <c r="A28" s="20" t="s">
        <v>93</v>
      </c>
      <c r="B28" s="102" t="s">
        <v>167</v>
      </c>
      <c r="C28" s="88">
        <f t="shared" si="0"/>
        <v>1050283.59</v>
      </c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4"/>
      <c r="AD28" s="105">
        <f t="shared" si="1"/>
        <v>1050283.59</v>
      </c>
      <c r="AE28" s="106">
        <v>1050283.59</v>
      </c>
      <c r="AF28" s="107">
        <f>48851+493855+6362+209846.48</f>
        <v>758914.48</v>
      </c>
      <c r="AG28" s="77">
        <f t="shared" si="2"/>
        <v>72.258053655775</v>
      </c>
    </row>
    <row r="29" spans="1:33" ht="27.75">
      <c r="A29" s="20" t="s">
        <v>94</v>
      </c>
      <c r="B29" s="102" t="s">
        <v>75</v>
      </c>
      <c r="C29" s="88">
        <f t="shared" si="0"/>
        <v>100000</v>
      </c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4"/>
      <c r="AD29" s="105">
        <f t="shared" si="1"/>
        <v>100000</v>
      </c>
      <c r="AE29" s="106">
        <v>100000</v>
      </c>
      <c r="AF29" s="107">
        <f>19600+60000</f>
        <v>79600</v>
      </c>
      <c r="AG29" s="77">
        <f t="shared" si="2"/>
        <v>79.60000000000001</v>
      </c>
    </row>
    <row r="30" spans="1:33" ht="27.75">
      <c r="A30" s="20" t="s">
        <v>95</v>
      </c>
      <c r="B30" s="102" t="s">
        <v>130</v>
      </c>
      <c r="C30" s="88">
        <f t="shared" si="0"/>
        <v>100000</v>
      </c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4"/>
      <c r="AD30" s="105">
        <f t="shared" si="1"/>
        <v>100000</v>
      </c>
      <c r="AE30" s="106">
        <v>100000</v>
      </c>
      <c r="AF30" s="107">
        <f>17299.8+60000</f>
        <v>77299.8</v>
      </c>
      <c r="AG30" s="77">
        <f t="shared" si="2"/>
        <v>77.2998</v>
      </c>
    </row>
    <row r="31" spans="1:33" ht="27.75">
      <c r="A31" s="20" t="s">
        <v>96</v>
      </c>
      <c r="B31" s="102" t="s">
        <v>178</v>
      </c>
      <c r="C31" s="88">
        <f t="shared" si="0"/>
        <v>70000</v>
      </c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4"/>
      <c r="AD31" s="105">
        <f t="shared" si="1"/>
        <v>70000</v>
      </c>
      <c r="AE31" s="106">
        <v>70000</v>
      </c>
      <c r="AF31" s="107">
        <v>7440.45</v>
      </c>
      <c r="AG31" s="77">
        <f t="shared" si="2"/>
        <v>10.629214285714285</v>
      </c>
    </row>
    <row r="32" spans="1:33" ht="27.75">
      <c r="A32" s="20" t="s">
        <v>97</v>
      </c>
      <c r="B32" s="102" t="s">
        <v>76</v>
      </c>
      <c r="C32" s="88">
        <f t="shared" si="0"/>
        <v>70000</v>
      </c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4"/>
      <c r="AD32" s="105">
        <f t="shared" si="1"/>
        <v>70000</v>
      </c>
      <c r="AE32" s="106">
        <v>70000</v>
      </c>
      <c r="AF32" s="107">
        <v>7440.45</v>
      </c>
      <c r="AG32" s="77">
        <f t="shared" si="2"/>
        <v>10.629214285714285</v>
      </c>
    </row>
    <row r="33" spans="1:33" ht="27.75">
      <c r="A33" s="20" t="s">
        <v>98</v>
      </c>
      <c r="B33" s="102" t="s">
        <v>77</v>
      </c>
      <c r="C33" s="88">
        <f t="shared" si="0"/>
        <v>550000</v>
      </c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4"/>
      <c r="AD33" s="105">
        <f t="shared" si="1"/>
        <v>550000</v>
      </c>
      <c r="AE33" s="106">
        <v>550000</v>
      </c>
      <c r="AF33" s="108"/>
      <c r="AG33" s="77">
        <f t="shared" si="2"/>
        <v>0</v>
      </c>
    </row>
    <row r="34" spans="1:33" ht="27.75">
      <c r="A34" s="20" t="s">
        <v>99</v>
      </c>
      <c r="B34" s="102" t="s">
        <v>78</v>
      </c>
      <c r="C34" s="88">
        <f t="shared" si="0"/>
        <v>721000</v>
      </c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4"/>
      <c r="AD34" s="105">
        <f t="shared" si="1"/>
        <v>721000</v>
      </c>
      <c r="AE34" s="106">
        <v>721000</v>
      </c>
      <c r="AF34" s="107">
        <f>12310+214500+159312.95+170377.41+153640.45+8620.45</f>
        <v>718761.26</v>
      </c>
      <c r="AG34" s="77">
        <f t="shared" si="2"/>
        <v>99.68949514563107</v>
      </c>
    </row>
    <row r="35" spans="1:33" ht="27.75">
      <c r="A35" s="20" t="s">
        <v>100</v>
      </c>
      <c r="B35" s="102" t="s">
        <v>179</v>
      </c>
      <c r="C35" s="88">
        <f t="shared" si="0"/>
        <v>100000</v>
      </c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4"/>
      <c r="AD35" s="105">
        <f t="shared" si="1"/>
        <v>100000</v>
      </c>
      <c r="AE35" s="106">
        <v>100000</v>
      </c>
      <c r="AF35" s="107">
        <f>3548+51441</f>
        <v>54989</v>
      </c>
      <c r="AG35" s="77">
        <f t="shared" si="2"/>
        <v>54.989</v>
      </c>
    </row>
    <row r="36" spans="1:33" ht="27.75">
      <c r="A36" s="20" t="s">
        <v>101</v>
      </c>
      <c r="B36" s="102" t="s">
        <v>206</v>
      </c>
      <c r="C36" s="88">
        <f t="shared" si="0"/>
        <v>100000</v>
      </c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4"/>
      <c r="AD36" s="105">
        <f t="shared" si="1"/>
        <v>100000</v>
      </c>
      <c r="AE36" s="106">
        <v>100000</v>
      </c>
      <c r="AF36" s="107"/>
      <c r="AG36" s="77">
        <f t="shared" si="2"/>
        <v>0</v>
      </c>
    </row>
    <row r="37" spans="1:33" ht="27.75">
      <c r="A37" s="20" t="s">
        <v>102</v>
      </c>
      <c r="B37" s="109" t="s">
        <v>180</v>
      </c>
      <c r="C37" s="88">
        <f t="shared" si="0"/>
        <v>250000</v>
      </c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4"/>
      <c r="AD37" s="105">
        <f t="shared" si="1"/>
        <v>250000</v>
      </c>
      <c r="AE37" s="106">
        <v>250000</v>
      </c>
      <c r="AF37" s="107">
        <f>11213+130452</f>
        <v>141665</v>
      </c>
      <c r="AG37" s="77">
        <f t="shared" si="2"/>
        <v>56.666000000000004</v>
      </c>
    </row>
    <row r="38" spans="1:33" ht="27.75">
      <c r="A38" s="20" t="s">
        <v>103</v>
      </c>
      <c r="B38" s="110" t="s">
        <v>181</v>
      </c>
      <c r="C38" s="88">
        <f t="shared" si="0"/>
        <v>185837</v>
      </c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4"/>
      <c r="AD38" s="105">
        <f t="shared" si="1"/>
        <v>185837</v>
      </c>
      <c r="AE38" s="106">
        <v>185837</v>
      </c>
      <c r="AF38" s="107">
        <f>11213+126507</f>
        <v>137720</v>
      </c>
      <c r="AG38" s="77">
        <f t="shared" si="2"/>
        <v>74.10795482062237</v>
      </c>
    </row>
    <row r="39" spans="1:33" ht="27.75">
      <c r="A39" s="20" t="s">
        <v>104</v>
      </c>
      <c r="B39" s="111" t="s">
        <v>182</v>
      </c>
      <c r="C39" s="88">
        <f t="shared" si="0"/>
        <v>166666</v>
      </c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4"/>
      <c r="AD39" s="105">
        <f t="shared" si="1"/>
        <v>166666</v>
      </c>
      <c r="AE39" s="106">
        <f>150000+16666</f>
        <v>166666</v>
      </c>
      <c r="AF39" s="107">
        <f>10949+126507</f>
        <v>137456</v>
      </c>
      <c r="AG39" s="77">
        <f t="shared" si="2"/>
        <v>82.47392989571958</v>
      </c>
    </row>
    <row r="40" spans="1:33" ht="27.75">
      <c r="A40" s="20" t="s">
        <v>105</v>
      </c>
      <c r="B40" s="111" t="s">
        <v>183</v>
      </c>
      <c r="C40" s="88">
        <f t="shared" si="0"/>
        <v>100000</v>
      </c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4"/>
      <c r="AD40" s="105">
        <f t="shared" si="1"/>
        <v>100000</v>
      </c>
      <c r="AE40" s="106">
        <v>100000</v>
      </c>
      <c r="AF40" s="107">
        <f>3548+51441</f>
        <v>54989</v>
      </c>
      <c r="AG40" s="77">
        <f t="shared" si="2"/>
        <v>54.989</v>
      </c>
    </row>
    <row r="41" spans="1:33" ht="27.75">
      <c r="A41" s="20" t="s">
        <v>144</v>
      </c>
      <c r="B41" s="111" t="s">
        <v>184</v>
      </c>
      <c r="C41" s="88">
        <f t="shared" si="0"/>
        <v>141647</v>
      </c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4"/>
      <c r="AD41" s="105">
        <f t="shared" si="1"/>
        <v>141647</v>
      </c>
      <c r="AE41" s="106">
        <v>141647</v>
      </c>
      <c r="AF41" s="107">
        <f>3424.8+89500+38424.8+1548.66</f>
        <v>132898.26</v>
      </c>
      <c r="AG41" s="77">
        <f t="shared" si="2"/>
        <v>93.82356138852218</v>
      </c>
    </row>
    <row r="42" spans="1:33" ht="27.75">
      <c r="A42" s="20" t="s">
        <v>145</v>
      </c>
      <c r="B42" s="111" t="s">
        <v>185</v>
      </c>
      <c r="C42" s="88">
        <f t="shared" si="0"/>
        <v>305263</v>
      </c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4"/>
      <c r="AD42" s="105">
        <f t="shared" si="1"/>
        <v>305263</v>
      </c>
      <c r="AE42" s="106">
        <v>305263</v>
      </c>
      <c r="AF42" s="107">
        <f>3424.8+168000+71996.4+2705</f>
        <v>246126.19999999998</v>
      </c>
      <c r="AG42" s="77">
        <f t="shared" si="2"/>
        <v>80.62758997978791</v>
      </c>
    </row>
    <row r="43" spans="1:33" ht="27.75">
      <c r="A43" s="20" t="s">
        <v>146</v>
      </c>
      <c r="B43" s="111" t="s">
        <v>79</v>
      </c>
      <c r="C43" s="88">
        <f t="shared" si="0"/>
        <v>89529.4</v>
      </c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4"/>
      <c r="AD43" s="105">
        <f t="shared" si="1"/>
        <v>89529.4</v>
      </c>
      <c r="AE43" s="106">
        <v>89529.4</v>
      </c>
      <c r="AF43" s="107">
        <v>42652.16</v>
      </c>
      <c r="AG43" s="77">
        <f t="shared" si="2"/>
        <v>47.640395222128156</v>
      </c>
    </row>
    <row r="44" spans="1:33" ht="27.75">
      <c r="A44" s="20" t="s">
        <v>147</v>
      </c>
      <c r="B44" s="111" t="s">
        <v>158</v>
      </c>
      <c r="C44" s="88">
        <f t="shared" si="0"/>
        <v>259290.01</v>
      </c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4"/>
      <c r="AD44" s="105">
        <f t="shared" si="1"/>
        <v>259290.01</v>
      </c>
      <c r="AE44" s="106">
        <v>259290.01</v>
      </c>
      <c r="AF44" s="107">
        <f>150000+1917.6+49589.95+30903.29+3251.19</f>
        <v>235662.03</v>
      </c>
      <c r="AG44" s="77">
        <f t="shared" si="2"/>
        <v>90.88743141318865</v>
      </c>
    </row>
    <row r="45" spans="1:33" ht="27.75">
      <c r="A45" s="20" t="s">
        <v>148</v>
      </c>
      <c r="B45" s="111" t="s">
        <v>134</v>
      </c>
      <c r="C45" s="88">
        <f t="shared" si="0"/>
        <v>89529.4</v>
      </c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4"/>
      <c r="AD45" s="105">
        <f t="shared" si="1"/>
        <v>89529.4</v>
      </c>
      <c r="AE45" s="106">
        <v>89529.4</v>
      </c>
      <c r="AF45" s="107">
        <v>46059.44</v>
      </c>
      <c r="AG45" s="77">
        <f t="shared" si="2"/>
        <v>51.44616181946936</v>
      </c>
    </row>
    <row r="46" spans="1:33" ht="27.75">
      <c r="A46" s="20" t="s">
        <v>149</v>
      </c>
      <c r="B46" s="112" t="s">
        <v>135</v>
      </c>
      <c r="C46" s="88">
        <f t="shared" si="0"/>
        <v>68183.04</v>
      </c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4"/>
      <c r="AD46" s="105">
        <f t="shared" si="1"/>
        <v>68183.04</v>
      </c>
      <c r="AE46" s="106">
        <v>68183.04</v>
      </c>
      <c r="AF46" s="108"/>
      <c r="AG46" s="77">
        <f t="shared" si="2"/>
        <v>0</v>
      </c>
    </row>
    <row r="47" spans="1:33" ht="27.75">
      <c r="A47" s="20" t="s">
        <v>150</v>
      </c>
      <c r="B47" s="111" t="s">
        <v>186</v>
      </c>
      <c r="C47" s="88">
        <f t="shared" si="0"/>
        <v>68183.04</v>
      </c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4"/>
      <c r="AD47" s="105">
        <f t="shared" si="1"/>
        <v>68183.04</v>
      </c>
      <c r="AE47" s="106">
        <v>68183.04</v>
      </c>
      <c r="AF47" s="108"/>
      <c r="AG47" s="77">
        <f t="shared" si="2"/>
        <v>0</v>
      </c>
    </row>
    <row r="48" spans="1:33" ht="27.75">
      <c r="A48" s="20" t="s">
        <v>151</v>
      </c>
      <c r="B48" s="111" t="s">
        <v>187</v>
      </c>
      <c r="C48" s="88">
        <f t="shared" si="0"/>
        <v>12000</v>
      </c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4"/>
      <c r="AD48" s="105">
        <f t="shared" si="1"/>
        <v>12000</v>
      </c>
      <c r="AE48" s="106">
        <v>12000</v>
      </c>
      <c r="AF48" s="107">
        <v>7432.8</v>
      </c>
      <c r="AG48" s="77">
        <f aca="true" t="shared" si="3" ref="AG48:AG53">AF48/C48*100</f>
        <v>61.940000000000005</v>
      </c>
    </row>
    <row r="49" spans="1:33" ht="27.75">
      <c r="A49" s="20" t="s">
        <v>152</v>
      </c>
      <c r="B49" s="111" t="s">
        <v>136</v>
      </c>
      <c r="C49" s="88">
        <f t="shared" si="0"/>
        <v>6000</v>
      </c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4"/>
      <c r="AD49" s="105">
        <f t="shared" si="1"/>
        <v>6000</v>
      </c>
      <c r="AE49" s="106">
        <v>6000</v>
      </c>
      <c r="AF49" s="107">
        <v>2912.4</v>
      </c>
      <c r="AG49" s="77">
        <f t="shared" si="3"/>
        <v>48.54</v>
      </c>
    </row>
    <row r="50" spans="1:33" ht="27.75">
      <c r="A50" s="20" t="s">
        <v>153</v>
      </c>
      <c r="B50" s="111" t="s">
        <v>137</v>
      </c>
      <c r="C50" s="88">
        <f t="shared" si="0"/>
        <v>12500</v>
      </c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4"/>
      <c r="AD50" s="105">
        <f t="shared" si="1"/>
        <v>12500</v>
      </c>
      <c r="AE50" s="106">
        <v>12500</v>
      </c>
      <c r="AF50" s="107">
        <v>9697.2</v>
      </c>
      <c r="AG50" s="77">
        <f t="shared" si="3"/>
        <v>77.5776</v>
      </c>
    </row>
    <row r="51" spans="1:33" ht="27.75">
      <c r="A51" s="20" t="s">
        <v>154</v>
      </c>
      <c r="B51" s="132" t="s">
        <v>138</v>
      </c>
      <c r="C51" s="88">
        <f t="shared" si="0"/>
        <v>6000</v>
      </c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4"/>
      <c r="AD51" s="105">
        <f t="shared" si="1"/>
        <v>6000</v>
      </c>
      <c r="AE51" s="106">
        <v>6000</v>
      </c>
      <c r="AF51" s="107">
        <v>2588.4</v>
      </c>
      <c r="AG51" s="77">
        <f t="shared" si="3"/>
        <v>43.14</v>
      </c>
    </row>
    <row r="52" spans="1:33" ht="27.75">
      <c r="A52" s="20" t="s">
        <v>155</v>
      </c>
      <c r="B52" s="132" t="s">
        <v>188</v>
      </c>
      <c r="C52" s="88">
        <f t="shared" si="0"/>
        <v>378408</v>
      </c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4"/>
      <c r="AD52" s="105">
        <f t="shared" si="1"/>
        <v>378408</v>
      </c>
      <c r="AE52" s="106">
        <v>378408</v>
      </c>
      <c r="AF52" s="107">
        <f>3424.8+98000+41996.8</f>
        <v>143421.6</v>
      </c>
      <c r="AG52" s="77">
        <f t="shared" si="3"/>
        <v>37.90131286864971</v>
      </c>
    </row>
    <row r="53" spans="1:33" ht="27.75">
      <c r="A53" s="20" t="s">
        <v>156</v>
      </c>
      <c r="B53" s="113" t="s">
        <v>139</v>
      </c>
      <c r="C53" s="88">
        <f t="shared" si="0"/>
        <v>67823.44</v>
      </c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4"/>
      <c r="AD53" s="105">
        <f t="shared" si="1"/>
        <v>67823.44</v>
      </c>
      <c r="AE53" s="106">
        <v>67823.44</v>
      </c>
      <c r="AF53" s="108"/>
      <c r="AG53" s="77">
        <f t="shared" si="3"/>
        <v>0</v>
      </c>
    </row>
    <row r="54" spans="1:33" ht="27.75">
      <c r="A54" s="20" t="s">
        <v>159</v>
      </c>
      <c r="B54" s="113" t="s">
        <v>190</v>
      </c>
      <c r="C54" s="88">
        <f t="shared" si="0"/>
        <v>170000</v>
      </c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4"/>
      <c r="AD54" s="105">
        <f t="shared" si="1"/>
        <v>170000</v>
      </c>
      <c r="AE54" s="106">
        <v>170000</v>
      </c>
      <c r="AF54" s="107">
        <f>3547+93982</f>
        <v>97529</v>
      </c>
      <c r="AG54" s="77">
        <f aca="true" t="shared" si="4" ref="AG54:AG64">AF54/C54*100</f>
        <v>57.37</v>
      </c>
    </row>
    <row r="55" spans="1:33" ht="27.75">
      <c r="A55" s="20" t="s">
        <v>189</v>
      </c>
      <c r="B55" s="113" t="s">
        <v>140</v>
      </c>
      <c r="C55" s="88">
        <f t="shared" si="0"/>
        <v>110473.24</v>
      </c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4"/>
      <c r="AD55" s="105">
        <f t="shared" si="1"/>
        <v>110473.24</v>
      </c>
      <c r="AE55" s="106">
        <v>110473.24</v>
      </c>
      <c r="AF55" s="108"/>
      <c r="AG55" s="77">
        <f t="shared" si="4"/>
        <v>0</v>
      </c>
    </row>
    <row r="56" spans="1:33" ht="27.75">
      <c r="A56" s="20" t="s">
        <v>191</v>
      </c>
      <c r="B56" s="113" t="s">
        <v>141</v>
      </c>
      <c r="C56" s="88">
        <f t="shared" si="0"/>
        <v>37506.28</v>
      </c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4"/>
      <c r="AD56" s="105">
        <f t="shared" si="1"/>
        <v>37506.28</v>
      </c>
      <c r="AE56" s="106">
        <v>37506.28</v>
      </c>
      <c r="AF56" s="108"/>
      <c r="AG56" s="77">
        <f t="shared" si="4"/>
        <v>0</v>
      </c>
    </row>
    <row r="57" spans="1:33" ht="27.75">
      <c r="A57" s="20" t="s">
        <v>192</v>
      </c>
      <c r="B57" s="113" t="s">
        <v>194</v>
      </c>
      <c r="C57" s="88">
        <f t="shared" si="0"/>
        <v>100000</v>
      </c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4"/>
      <c r="AD57" s="105">
        <f t="shared" si="1"/>
        <v>100000</v>
      </c>
      <c r="AE57" s="106">
        <v>100000</v>
      </c>
      <c r="AF57" s="107">
        <f>3547+51441</f>
        <v>54988</v>
      </c>
      <c r="AG57" s="77">
        <f t="shared" si="4"/>
        <v>54.98800000000001</v>
      </c>
    </row>
    <row r="58" spans="1:33" ht="27.75">
      <c r="A58" s="20" t="s">
        <v>193</v>
      </c>
      <c r="B58" s="113" t="s">
        <v>142</v>
      </c>
      <c r="C58" s="88">
        <f t="shared" si="0"/>
        <v>2700</v>
      </c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4"/>
      <c r="AD58" s="105">
        <f t="shared" si="1"/>
        <v>2700</v>
      </c>
      <c r="AE58" s="106">
        <v>2700</v>
      </c>
      <c r="AF58" s="108"/>
      <c r="AG58" s="77">
        <f t="shared" si="4"/>
        <v>0</v>
      </c>
    </row>
    <row r="59" spans="1:33" ht="27.75">
      <c r="A59" s="20" t="s">
        <v>195</v>
      </c>
      <c r="B59" s="113" t="s">
        <v>143</v>
      </c>
      <c r="C59" s="88">
        <f t="shared" si="0"/>
        <v>3500</v>
      </c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4"/>
      <c r="AD59" s="105">
        <f t="shared" si="1"/>
        <v>3500</v>
      </c>
      <c r="AE59" s="106">
        <v>3500</v>
      </c>
      <c r="AF59" s="108"/>
      <c r="AG59" s="77">
        <f t="shared" si="4"/>
        <v>0</v>
      </c>
    </row>
    <row r="60" spans="1:33" ht="27.75">
      <c r="A60" s="20" t="s">
        <v>196</v>
      </c>
      <c r="B60" s="113" t="s">
        <v>198</v>
      </c>
      <c r="C60" s="88">
        <f t="shared" si="0"/>
        <v>200000</v>
      </c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4"/>
      <c r="AD60" s="105">
        <f t="shared" si="1"/>
        <v>200000</v>
      </c>
      <c r="AE60" s="106">
        <v>200000</v>
      </c>
      <c r="AF60" s="107">
        <f>11257+132120</f>
        <v>143377</v>
      </c>
      <c r="AG60" s="77">
        <f t="shared" si="4"/>
        <v>71.6885</v>
      </c>
    </row>
    <row r="61" spans="1:33" ht="27.75">
      <c r="A61" s="20" t="s">
        <v>197</v>
      </c>
      <c r="B61" s="113" t="s">
        <v>200</v>
      </c>
      <c r="C61" s="88">
        <f t="shared" si="0"/>
        <v>350000</v>
      </c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4"/>
      <c r="AD61" s="105">
        <f t="shared" si="1"/>
        <v>350000</v>
      </c>
      <c r="AE61" s="106">
        <v>350000</v>
      </c>
      <c r="AF61" s="107">
        <v>12264</v>
      </c>
      <c r="AG61" s="77">
        <f t="shared" si="4"/>
        <v>3.504</v>
      </c>
    </row>
    <row r="62" spans="1:33" ht="27.75">
      <c r="A62" s="20" t="s">
        <v>199</v>
      </c>
      <c r="B62" s="113" t="s">
        <v>160</v>
      </c>
      <c r="C62" s="88">
        <f t="shared" si="0"/>
        <v>200000</v>
      </c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4"/>
      <c r="AD62" s="105">
        <f t="shared" si="1"/>
        <v>200000</v>
      </c>
      <c r="AE62" s="106">
        <v>200000</v>
      </c>
      <c r="AF62" s="107">
        <f>14000+128787-35541</f>
        <v>107246</v>
      </c>
      <c r="AG62" s="77">
        <f t="shared" si="4"/>
        <v>53.623</v>
      </c>
    </row>
    <row r="63" spans="1:33" ht="27.75">
      <c r="A63" s="20" t="s">
        <v>201</v>
      </c>
      <c r="B63" s="113" t="s">
        <v>161</v>
      </c>
      <c r="C63" s="88">
        <f t="shared" si="0"/>
        <v>200000</v>
      </c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4"/>
      <c r="AD63" s="105">
        <f t="shared" si="1"/>
        <v>200000</v>
      </c>
      <c r="AE63" s="106">
        <v>200000</v>
      </c>
      <c r="AF63" s="107">
        <f>14000+128787-36580.2</f>
        <v>106206.8</v>
      </c>
      <c r="AG63" s="77">
        <f t="shared" si="4"/>
        <v>53.1034</v>
      </c>
    </row>
    <row r="64" spans="1:33" ht="55.5">
      <c r="A64" s="20" t="s">
        <v>202</v>
      </c>
      <c r="B64" s="52" t="s">
        <v>203</v>
      </c>
      <c r="C64" s="88">
        <f t="shared" si="0"/>
        <v>18900000</v>
      </c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19"/>
      <c r="AD64" s="24">
        <f t="shared" si="1"/>
        <v>18900000</v>
      </c>
      <c r="AE64" s="80">
        <v>18900000</v>
      </c>
      <c r="AF64" s="107">
        <f>2574176.16+727025.16+400166.47+266287.2+395364.48</f>
        <v>4363019.470000001</v>
      </c>
      <c r="AG64" s="77">
        <f t="shared" si="4"/>
        <v>23.084759100529105</v>
      </c>
    </row>
    <row r="65" spans="1:33" ht="15">
      <c r="A65" s="27" t="s">
        <v>83</v>
      </c>
      <c r="B65" s="53" t="s">
        <v>126</v>
      </c>
      <c r="C65" s="40">
        <f>AD65</f>
        <v>7175000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28"/>
      <c r="AD65" s="29">
        <f>AD66</f>
        <v>7175000</v>
      </c>
      <c r="AE65" s="63">
        <f>AD65</f>
        <v>7175000</v>
      </c>
      <c r="AF65" s="36">
        <f>AF66</f>
        <v>6763495.19</v>
      </c>
      <c r="AG65" s="76">
        <f t="shared" si="2"/>
        <v>94.26474132404182</v>
      </c>
    </row>
    <row r="66" spans="1:33" ht="55.5">
      <c r="A66" s="20" t="s">
        <v>106</v>
      </c>
      <c r="B66" s="51" t="s">
        <v>80</v>
      </c>
      <c r="C66" s="38">
        <f>AD66</f>
        <v>7175000</v>
      </c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19"/>
      <c r="AD66" s="25">
        <v>7175000</v>
      </c>
      <c r="AE66" s="64">
        <f>AD66</f>
        <v>7175000</v>
      </c>
      <c r="AF66" s="80">
        <f>2994538.8+52872+280044+277828.59+929435.6+877224+84962.4+10565+782249.4+44887.2+370136.2+58752</f>
        <v>6763495.19</v>
      </c>
      <c r="AG66" s="77">
        <f t="shared" si="2"/>
        <v>94.26474132404182</v>
      </c>
    </row>
    <row r="67" spans="1:33" ht="30">
      <c r="A67" s="27" t="s">
        <v>26</v>
      </c>
      <c r="B67" s="53" t="s">
        <v>217</v>
      </c>
      <c r="C67" s="40">
        <f>AD67</f>
        <v>2545000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28"/>
      <c r="AD67" s="29">
        <f>AD68</f>
        <v>2545000</v>
      </c>
      <c r="AE67" s="63">
        <f>AD67</f>
        <v>2545000</v>
      </c>
      <c r="AF67" s="36">
        <f>AF68</f>
        <v>1816670.4</v>
      </c>
      <c r="AG67" s="76">
        <f t="shared" si="2"/>
        <v>71.38194106090373</v>
      </c>
    </row>
    <row r="68" spans="1:33" ht="42">
      <c r="A68" s="20" t="s">
        <v>52</v>
      </c>
      <c r="B68" s="51" t="s">
        <v>81</v>
      </c>
      <c r="C68" s="38">
        <f>AD68</f>
        <v>2545000</v>
      </c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19"/>
      <c r="AD68" s="25">
        <v>2545000</v>
      </c>
      <c r="AE68" s="64">
        <f>AD68</f>
        <v>2545000</v>
      </c>
      <c r="AF68" s="127">
        <f>278748+651313+697051+189558.4</f>
        <v>1816670.4</v>
      </c>
      <c r="AG68" s="77">
        <f t="shared" si="2"/>
        <v>71.38194106090373</v>
      </c>
    </row>
    <row r="69" spans="1:33" s="3" customFormat="1" ht="29.25" customHeight="1">
      <c r="A69" s="22" t="s">
        <v>107</v>
      </c>
      <c r="B69" s="54" t="s">
        <v>22</v>
      </c>
      <c r="C69" s="40">
        <f>AC69+AD69</f>
        <v>48516471.52</v>
      </c>
      <c r="D69" s="40">
        <f aca="true" t="shared" si="5" ref="D69:AB69">D70+D77+D83+D87+D94+D102+D105+D113+D115+D118+D119+D122</f>
        <v>0</v>
      </c>
      <c r="E69" s="40">
        <f t="shared" si="5"/>
        <v>0</v>
      </c>
      <c r="F69" s="40">
        <f t="shared" si="5"/>
        <v>0</v>
      </c>
      <c r="G69" s="40">
        <f t="shared" si="5"/>
        <v>0</v>
      </c>
      <c r="H69" s="40">
        <f t="shared" si="5"/>
        <v>0</v>
      </c>
      <c r="I69" s="40">
        <f t="shared" si="5"/>
        <v>0</v>
      </c>
      <c r="J69" s="40">
        <f t="shared" si="5"/>
        <v>0</v>
      </c>
      <c r="K69" s="40">
        <f t="shared" si="5"/>
        <v>0</v>
      </c>
      <c r="L69" s="40">
        <f t="shared" si="5"/>
        <v>0</v>
      </c>
      <c r="M69" s="40">
        <f t="shared" si="5"/>
        <v>0</v>
      </c>
      <c r="N69" s="40">
        <f t="shared" si="5"/>
        <v>0</v>
      </c>
      <c r="O69" s="40">
        <f t="shared" si="5"/>
        <v>0</v>
      </c>
      <c r="P69" s="40">
        <f t="shared" si="5"/>
        <v>0</v>
      </c>
      <c r="Q69" s="40">
        <f t="shared" si="5"/>
        <v>0</v>
      </c>
      <c r="R69" s="40">
        <f t="shared" si="5"/>
        <v>0</v>
      </c>
      <c r="S69" s="40">
        <f t="shared" si="5"/>
        <v>0</v>
      </c>
      <c r="T69" s="40">
        <f t="shared" si="5"/>
        <v>0</v>
      </c>
      <c r="U69" s="40">
        <f t="shared" si="5"/>
        <v>0</v>
      </c>
      <c r="V69" s="40">
        <f t="shared" si="5"/>
        <v>0</v>
      </c>
      <c r="W69" s="40">
        <f t="shared" si="5"/>
        <v>0</v>
      </c>
      <c r="X69" s="40">
        <f t="shared" si="5"/>
        <v>0</v>
      </c>
      <c r="Y69" s="40">
        <f t="shared" si="5"/>
        <v>0</v>
      </c>
      <c r="Z69" s="40">
        <f t="shared" si="5"/>
        <v>0</v>
      </c>
      <c r="AA69" s="40">
        <f t="shared" si="5"/>
        <v>0</v>
      </c>
      <c r="AB69" s="40">
        <f t="shared" si="5"/>
        <v>0</v>
      </c>
      <c r="AC69" s="40">
        <f>AC70+AC77+AC83+AC87+AC94+AC102+AC105+AC113+AC115+AC118+AC119+AC122+AC125</f>
        <v>46316471.52</v>
      </c>
      <c r="AD69" s="34">
        <f>AE69</f>
        <v>2200000</v>
      </c>
      <c r="AE69" s="65">
        <f>AE94+AE105</f>
        <v>2200000</v>
      </c>
      <c r="AF69" s="40">
        <f>AF70+AF77+AF83+AF87+AF94+AF102+AF105+AF113+AF115+AF118+AF119+AF122+AF125</f>
        <v>43235923.99</v>
      </c>
      <c r="AG69" s="76">
        <f t="shared" si="2"/>
        <v>89.11596955721895</v>
      </c>
    </row>
    <row r="70" spans="1:33" ht="27.75">
      <c r="A70" s="9" t="s">
        <v>113</v>
      </c>
      <c r="B70" s="55" t="s">
        <v>17</v>
      </c>
      <c r="C70" s="41">
        <f>SUM(C71:C76)</f>
        <v>17891996.89</v>
      </c>
      <c r="D70" s="41">
        <f aca="true" t="shared" si="6" ref="D70:AB70">SUM(D71:D76)</f>
        <v>0</v>
      </c>
      <c r="E70" s="41">
        <f t="shared" si="6"/>
        <v>0</v>
      </c>
      <c r="F70" s="41">
        <f t="shared" si="6"/>
        <v>0</v>
      </c>
      <c r="G70" s="41">
        <f t="shared" si="6"/>
        <v>0</v>
      </c>
      <c r="H70" s="41">
        <f t="shared" si="6"/>
        <v>0</v>
      </c>
      <c r="I70" s="41">
        <f t="shared" si="6"/>
        <v>0</v>
      </c>
      <c r="J70" s="41">
        <f t="shared" si="6"/>
        <v>0</v>
      </c>
      <c r="K70" s="41">
        <f t="shared" si="6"/>
        <v>0</v>
      </c>
      <c r="L70" s="41">
        <f t="shared" si="6"/>
        <v>0</v>
      </c>
      <c r="M70" s="41">
        <f t="shared" si="6"/>
        <v>0</v>
      </c>
      <c r="N70" s="41">
        <f t="shared" si="6"/>
        <v>0</v>
      </c>
      <c r="O70" s="41">
        <f t="shared" si="6"/>
        <v>0</v>
      </c>
      <c r="P70" s="41">
        <f t="shared" si="6"/>
        <v>0</v>
      </c>
      <c r="Q70" s="41">
        <f t="shared" si="6"/>
        <v>0</v>
      </c>
      <c r="R70" s="41">
        <f t="shared" si="6"/>
        <v>0</v>
      </c>
      <c r="S70" s="41">
        <f t="shared" si="6"/>
        <v>0</v>
      </c>
      <c r="T70" s="41">
        <f t="shared" si="6"/>
        <v>0</v>
      </c>
      <c r="U70" s="41">
        <f t="shared" si="6"/>
        <v>0</v>
      </c>
      <c r="V70" s="41">
        <f t="shared" si="6"/>
        <v>0</v>
      </c>
      <c r="W70" s="41">
        <f t="shared" si="6"/>
        <v>0</v>
      </c>
      <c r="X70" s="41">
        <f t="shared" si="6"/>
        <v>0</v>
      </c>
      <c r="Y70" s="41">
        <f t="shared" si="6"/>
        <v>0</v>
      </c>
      <c r="Z70" s="41">
        <f t="shared" si="6"/>
        <v>0</v>
      </c>
      <c r="AA70" s="41">
        <f t="shared" si="6"/>
        <v>0</v>
      </c>
      <c r="AB70" s="41">
        <f t="shared" si="6"/>
        <v>0</v>
      </c>
      <c r="AC70" s="41">
        <f>C70</f>
        <v>17891996.89</v>
      </c>
      <c r="AD70" s="15"/>
      <c r="AE70" s="66"/>
      <c r="AF70" s="89">
        <f>SUM(AF71:AF76)</f>
        <v>16556051.48</v>
      </c>
      <c r="AG70" s="78">
        <f t="shared" si="2"/>
        <v>92.53327944212492</v>
      </c>
    </row>
    <row r="71" spans="1:33" ht="13.5">
      <c r="A71" s="9"/>
      <c r="B71" s="56" t="s">
        <v>63</v>
      </c>
      <c r="C71" s="42">
        <f>5410577-4100000-230979.51-80100-115500-144390</f>
        <v>739607.49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2">
        <f aca="true" t="shared" si="7" ref="AC71:AC125">C71</f>
        <v>739607.49</v>
      </c>
      <c r="AD71" s="16"/>
      <c r="AE71" s="66"/>
      <c r="AF71" s="90">
        <v>711836.19</v>
      </c>
      <c r="AG71" s="79">
        <f t="shared" si="2"/>
        <v>96.24512996751831</v>
      </c>
    </row>
    <row r="72" spans="1:33" ht="27.75">
      <c r="A72" s="9"/>
      <c r="B72" s="56" t="s">
        <v>131</v>
      </c>
      <c r="C72" s="42">
        <f>4100000-50000</f>
        <v>4050000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2">
        <f>C72</f>
        <v>4050000</v>
      </c>
      <c r="AD72" s="16"/>
      <c r="AE72" s="66"/>
      <c r="AF72" s="91">
        <f>455000+314965+130620+343290+97715+339580+98470+273260+131835+305145+214330+338205+124700+417475+51800+290680+122930</f>
        <v>4050000</v>
      </c>
      <c r="AG72" s="79">
        <f t="shared" si="2"/>
        <v>100</v>
      </c>
    </row>
    <row r="73" spans="1:33" ht="13.5">
      <c r="A73" s="9"/>
      <c r="B73" s="56" t="s">
        <v>62</v>
      </c>
      <c r="C73" s="42">
        <v>10280421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2">
        <f t="shared" si="7"/>
        <v>10280421</v>
      </c>
      <c r="AD73" s="16"/>
      <c r="AE73" s="66"/>
      <c r="AF73" s="90">
        <f>2365770.77+938491.55+624657.88+597865.39+521903.53+454645.44+638736.55+719669.99+997233.12+1119173.24</f>
        <v>8978147.46</v>
      </c>
      <c r="AG73" s="79">
        <f t="shared" si="2"/>
        <v>87.33248823175627</v>
      </c>
    </row>
    <row r="74" spans="1:33" ht="27.75">
      <c r="A74" s="9"/>
      <c r="B74" s="56" t="s">
        <v>41</v>
      </c>
      <c r="C74" s="42">
        <f>652567+77756.4</f>
        <v>730323.4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2">
        <f t="shared" si="7"/>
        <v>730323.4</v>
      </c>
      <c r="AD74" s="16"/>
      <c r="AE74" s="66"/>
      <c r="AF74" s="91">
        <f>46671+2500+4491+51671+51162+4491+2500+46671+4491+46671+4491+46671+5000+24687+4491+30677+2500+4491+24868.9+30677+24866.9+4491+2500+30677+29358.9+2500+30677+24867.9+6991+606+30677+4491+24867.9+30677+2956+26293.9+7177</f>
        <v>724548.4000000001</v>
      </c>
      <c r="AG74" s="79">
        <f t="shared" si="2"/>
        <v>99.20925442071281</v>
      </c>
    </row>
    <row r="75" spans="1:33" ht="27.75">
      <c r="A75" s="9"/>
      <c r="B75" s="56" t="s">
        <v>29</v>
      </c>
      <c r="C75" s="42">
        <f>672025.28+359929.72</f>
        <v>1031955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2">
        <f t="shared" si="7"/>
        <v>1031955</v>
      </c>
      <c r="AD75" s="16"/>
      <c r="AE75" s="66"/>
      <c r="AF75" s="91">
        <f>124086+55244.7+44251+76234+44251+44251+38355+47346.24+49686+38383.46+11048.23+45153+35304.93+51458.35+44416.85+39352.44+51678.01+53781.3+44170.62+50220.27+43195.53</f>
        <v>1031867.93</v>
      </c>
      <c r="AG75" s="79">
        <f t="shared" si="2"/>
        <v>99.99156261658698</v>
      </c>
    </row>
    <row r="76" spans="1:33" ht="13.5">
      <c r="A76" s="9"/>
      <c r="B76" s="56" t="s">
        <v>35</v>
      </c>
      <c r="C76" s="42">
        <f>1002190+57500</f>
        <v>1059690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2">
        <f t="shared" si="7"/>
        <v>1059690</v>
      </c>
      <c r="AD76" s="16"/>
      <c r="AE76" s="66"/>
      <c r="AF76" s="116">
        <f>165541.2+86398.21+87668.42+90307.93+90518.03+90297.32+90918.07+88215.01+90563.36+88315.06+90908.89</f>
        <v>1059651.5</v>
      </c>
      <c r="AG76" s="79">
        <f t="shared" si="2"/>
        <v>99.99636686200681</v>
      </c>
    </row>
    <row r="77" spans="1:33" ht="13.5">
      <c r="A77" s="9" t="s">
        <v>114</v>
      </c>
      <c r="B77" s="55" t="s">
        <v>3</v>
      </c>
      <c r="C77" s="41">
        <f>SUM(C78:C82)</f>
        <v>7200846.1</v>
      </c>
      <c r="D77" s="41">
        <f aca="true" t="shared" si="8" ref="D77:AB77">SUM(D78:D82)</f>
        <v>0</v>
      </c>
      <c r="E77" s="41">
        <f t="shared" si="8"/>
        <v>0</v>
      </c>
      <c r="F77" s="41">
        <f t="shared" si="8"/>
        <v>0</v>
      </c>
      <c r="G77" s="41">
        <f t="shared" si="8"/>
        <v>0</v>
      </c>
      <c r="H77" s="41">
        <f t="shared" si="8"/>
        <v>0</v>
      </c>
      <c r="I77" s="41">
        <f t="shared" si="8"/>
        <v>0</v>
      </c>
      <c r="J77" s="41">
        <f t="shared" si="8"/>
        <v>0</v>
      </c>
      <c r="K77" s="41">
        <f t="shared" si="8"/>
        <v>0</v>
      </c>
      <c r="L77" s="41">
        <f t="shared" si="8"/>
        <v>0</v>
      </c>
      <c r="M77" s="41">
        <f t="shared" si="8"/>
        <v>0</v>
      </c>
      <c r="N77" s="41">
        <f t="shared" si="8"/>
        <v>0</v>
      </c>
      <c r="O77" s="41">
        <f t="shared" si="8"/>
        <v>0</v>
      </c>
      <c r="P77" s="41">
        <f t="shared" si="8"/>
        <v>0</v>
      </c>
      <c r="Q77" s="41">
        <f t="shared" si="8"/>
        <v>0</v>
      </c>
      <c r="R77" s="41">
        <f t="shared" si="8"/>
        <v>0</v>
      </c>
      <c r="S77" s="41">
        <f t="shared" si="8"/>
        <v>0</v>
      </c>
      <c r="T77" s="41">
        <f t="shared" si="8"/>
        <v>0</v>
      </c>
      <c r="U77" s="41">
        <f t="shared" si="8"/>
        <v>0</v>
      </c>
      <c r="V77" s="41">
        <f t="shared" si="8"/>
        <v>0</v>
      </c>
      <c r="W77" s="41">
        <f t="shared" si="8"/>
        <v>0</v>
      </c>
      <c r="X77" s="41">
        <f t="shared" si="8"/>
        <v>0</v>
      </c>
      <c r="Y77" s="41">
        <f t="shared" si="8"/>
        <v>0</v>
      </c>
      <c r="Z77" s="41">
        <f t="shared" si="8"/>
        <v>0</v>
      </c>
      <c r="AA77" s="41">
        <f t="shared" si="8"/>
        <v>0</v>
      </c>
      <c r="AB77" s="41">
        <f t="shared" si="8"/>
        <v>0</v>
      </c>
      <c r="AC77" s="41">
        <f t="shared" si="7"/>
        <v>7200846.1</v>
      </c>
      <c r="AD77" s="15"/>
      <c r="AE77" s="66"/>
      <c r="AF77" s="89">
        <f>SUM(AF78:AF82)</f>
        <v>6800222.03</v>
      </c>
      <c r="AG77" s="78">
        <f t="shared" si="2"/>
        <v>94.4364306022316</v>
      </c>
    </row>
    <row r="78" spans="1:33" ht="13.5">
      <c r="A78" s="9"/>
      <c r="B78" s="56" t="s">
        <v>36</v>
      </c>
      <c r="C78" s="42">
        <v>2402265.73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2">
        <f t="shared" si="7"/>
        <v>2402265.73</v>
      </c>
      <c r="AD78" s="16"/>
      <c r="AE78" s="66"/>
      <c r="AF78" s="90">
        <f>195156+87000+174330+87000+260160+58000+70200+58000+139245.91+87000+121680+58000+430434+252415</f>
        <v>2078620.91</v>
      </c>
      <c r="AG78" s="79">
        <f t="shared" si="2"/>
        <v>86.52751791951009</v>
      </c>
    </row>
    <row r="79" spans="1:33" ht="13.5">
      <c r="A79" s="9"/>
      <c r="B79" s="56" t="s">
        <v>4</v>
      </c>
      <c r="C79" s="42">
        <v>380000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2">
        <f t="shared" si="7"/>
        <v>380000</v>
      </c>
      <c r="AD79" s="16"/>
      <c r="AE79" s="66"/>
      <c r="AF79" s="90">
        <f>135000+33750+27090+11457+172700</f>
        <v>379997</v>
      </c>
      <c r="AG79" s="79">
        <f t="shared" si="2"/>
        <v>99.99921052631578</v>
      </c>
    </row>
    <row r="80" spans="1:33" ht="13.5">
      <c r="A80" s="9"/>
      <c r="B80" s="56" t="s">
        <v>37</v>
      </c>
      <c r="C80" s="42">
        <v>200000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2">
        <f t="shared" si="7"/>
        <v>200000</v>
      </c>
      <c r="AD80" s="16"/>
      <c r="AE80" s="66"/>
      <c r="AF80" s="90">
        <f>33207.3+33207.3+33207.3+33207.3+33207.3+33839.82</f>
        <v>199876.32</v>
      </c>
      <c r="AG80" s="79">
        <f t="shared" si="2"/>
        <v>99.93816</v>
      </c>
    </row>
    <row r="81" spans="1:33" ht="13.5">
      <c r="A81" s="9"/>
      <c r="B81" s="56" t="s">
        <v>38</v>
      </c>
      <c r="C81" s="42">
        <v>291480.84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2">
        <f t="shared" si="7"/>
        <v>291480.84</v>
      </c>
      <c r="AD81" s="16"/>
      <c r="AE81" s="66"/>
      <c r="AF81" s="90">
        <f>45550+62000+60735+53619.08+69575</f>
        <v>291479.08</v>
      </c>
      <c r="AG81" s="79">
        <f aca="true" t="shared" si="9" ref="AG81:AG136">AF81/C81*100</f>
        <v>99.99939618672705</v>
      </c>
    </row>
    <row r="82" spans="1:33" ht="44.25" customHeight="1">
      <c r="A82" s="9"/>
      <c r="B82" s="56" t="s">
        <v>39</v>
      </c>
      <c r="C82" s="42">
        <v>3927099.53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2">
        <f t="shared" si="7"/>
        <v>3927099.53</v>
      </c>
      <c r="AD82" s="16"/>
      <c r="AE82" s="66"/>
      <c r="AF82" s="91">
        <f>1017646.61+44880+126065.55+74837.4+57228.6+90245.1+212678.65+329120+256886.6+76800+92446.2+255516.22+121483.9+293790+233460+69813.89+348350+149000</f>
        <v>3850248.72</v>
      </c>
      <c r="AG82" s="79">
        <f t="shared" si="9"/>
        <v>98.04306436816998</v>
      </c>
    </row>
    <row r="83" spans="1:33" ht="27.75">
      <c r="A83" s="9" t="s">
        <v>115</v>
      </c>
      <c r="B83" s="55" t="s">
        <v>5</v>
      </c>
      <c r="C83" s="41">
        <f>SUM(C84:C86)</f>
        <v>1588667.0899999999</v>
      </c>
      <c r="D83" s="41">
        <f aca="true" t="shared" si="10" ref="D83:AB83">SUM(D84:D86)</f>
        <v>0</v>
      </c>
      <c r="E83" s="41">
        <f t="shared" si="10"/>
        <v>0</v>
      </c>
      <c r="F83" s="41">
        <f t="shared" si="10"/>
        <v>0</v>
      </c>
      <c r="G83" s="41">
        <f t="shared" si="10"/>
        <v>0</v>
      </c>
      <c r="H83" s="41">
        <f t="shared" si="10"/>
        <v>0</v>
      </c>
      <c r="I83" s="41">
        <f t="shared" si="10"/>
        <v>0</v>
      </c>
      <c r="J83" s="41">
        <f t="shared" si="10"/>
        <v>0</v>
      </c>
      <c r="K83" s="41">
        <f t="shared" si="10"/>
        <v>0</v>
      </c>
      <c r="L83" s="41">
        <f t="shared" si="10"/>
        <v>0</v>
      </c>
      <c r="M83" s="41">
        <f t="shared" si="10"/>
        <v>0</v>
      </c>
      <c r="N83" s="41">
        <f t="shared" si="10"/>
        <v>0</v>
      </c>
      <c r="O83" s="41">
        <f t="shared" si="10"/>
        <v>0</v>
      </c>
      <c r="P83" s="41">
        <f t="shared" si="10"/>
        <v>0</v>
      </c>
      <c r="Q83" s="41">
        <f t="shared" si="10"/>
        <v>0</v>
      </c>
      <c r="R83" s="41">
        <f t="shared" si="10"/>
        <v>0</v>
      </c>
      <c r="S83" s="41">
        <f t="shared" si="10"/>
        <v>0</v>
      </c>
      <c r="T83" s="41">
        <f t="shared" si="10"/>
        <v>0</v>
      </c>
      <c r="U83" s="41">
        <f t="shared" si="10"/>
        <v>0</v>
      </c>
      <c r="V83" s="41">
        <f t="shared" si="10"/>
        <v>0</v>
      </c>
      <c r="W83" s="41">
        <f t="shared" si="10"/>
        <v>0</v>
      </c>
      <c r="X83" s="41">
        <f t="shared" si="10"/>
        <v>0</v>
      </c>
      <c r="Y83" s="41">
        <f t="shared" si="10"/>
        <v>0</v>
      </c>
      <c r="Z83" s="41">
        <f t="shared" si="10"/>
        <v>0</v>
      </c>
      <c r="AA83" s="41">
        <f t="shared" si="10"/>
        <v>0</v>
      </c>
      <c r="AB83" s="41">
        <f t="shared" si="10"/>
        <v>0</v>
      </c>
      <c r="AC83" s="41">
        <f t="shared" si="7"/>
        <v>1588667.0899999999</v>
      </c>
      <c r="AD83" s="15"/>
      <c r="AE83" s="66"/>
      <c r="AF83" s="89">
        <f>SUM(AF84:AF86)</f>
        <v>1528423.35</v>
      </c>
      <c r="AG83" s="78">
        <f t="shared" si="9"/>
        <v>96.20790659168247</v>
      </c>
    </row>
    <row r="84" spans="1:33" ht="13.5">
      <c r="A84" s="9"/>
      <c r="B84" s="56" t="s">
        <v>54</v>
      </c>
      <c r="C84" s="42">
        <f>1271166-57500</f>
        <v>1213666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2">
        <f t="shared" si="7"/>
        <v>1213666</v>
      </c>
      <c r="AD84" s="16"/>
      <c r="AE84" s="66"/>
      <c r="AF84" s="90">
        <f>581281.86-183335.28+134873.07+214611.3+117069.05+196807.28+113166.31</f>
        <v>1174473.59</v>
      </c>
      <c r="AG84" s="79">
        <f t="shared" si="9"/>
        <v>96.77074170323633</v>
      </c>
    </row>
    <row r="85" spans="1:33" ht="13.5">
      <c r="A85" s="9"/>
      <c r="B85" s="56" t="s">
        <v>55</v>
      </c>
      <c r="C85" s="42">
        <v>157394.69</v>
      </c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2">
        <f t="shared" si="7"/>
        <v>157394.69</v>
      </c>
      <c r="AD85" s="16"/>
      <c r="AE85" s="66"/>
      <c r="AF85" s="90">
        <f>32355.65+32355.65+32355.65+38134.46+15651.44</f>
        <v>150852.85</v>
      </c>
      <c r="AG85" s="79">
        <f t="shared" si="9"/>
        <v>95.84367172742613</v>
      </c>
    </row>
    <row r="86" spans="1:33" ht="13.5">
      <c r="A86" s="9"/>
      <c r="B86" s="56" t="s">
        <v>56</v>
      </c>
      <c r="C86" s="42">
        <f>420908.4-203302</f>
        <v>217606.40000000002</v>
      </c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2">
        <f t="shared" si="7"/>
        <v>217606.40000000002</v>
      </c>
      <c r="AD86" s="16"/>
      <c r="AE86" s="66"/>
      <c r="AF86" s="90">
        <f>31498.87+32966.8+33642.28+34360.05+33352.59+37276.32</f>
        <v>203096.91</v>
      </c>
      <c r="AG86" s="79">
        <f t="shared" si="9"/>
        <v>93.33223195641304</v>
      </c>
    </row>
    <row r="87" spans="1:33" ht="13.5">
      <c r="A87" s="9" t="s">
        <v>116</v>
      </c>
      <c r="B87" s="55" t="s">
        <v>40</v>
      </c>
      <c r="C87" s="41">
        <f>SUM(C88:C93)</f>
        <v>3714133.06</v>
      </c>
      <c r="D87" s="41">
        <f aca="true" t="shared" si="11" ref="D87:AB87">SUM(D88:D93)</f>
        <v>0</v>
      </c>
      <c r="E87" s="41">
        <f t="shared" si="11"/>
        <v>0</v>
      </c>
      <c r="F87" s="41">
        <f t="shared" si="11"/>
        <v>0</v>
      </c>
      <c r="G87" s="41">
        <f t="shared" si="11"/>
        <v>0</v>
      </c>
      <c r="H87" s="41">
        <f t="shared" si="11"/>
        <v>0</v>
      </c>
      <c r="I87" s="41">
        <f t="shared" si="11"/>
        <v>0</v>
      </c>
      <c r="J87" s="41">
        <f t="shared" si="11"/>
        <v>0</v>
      </c>
      <c r="K87" s="41">
        <f t="shared" si="11"/>
        <v>0</v>
      </c>
      <c r="L87" s="41">
        <f t="shared" si="11"/>
        <v>0</v>
      </c>
      <c r="M87" s="41">
        <f t="shared" si="11"/>
        <v>0</v>
      </c>
      <c r="N87" s="41">
        <f t="shared" si="11"/>
        <v>0</v>
      </c>
      <c r="O87" s="41">
        <f t="shared" si="11"/>
        <v>0</v>
      </c>
      <c r="P87" s="41">
        <f t="shared" si="11"/>
        <v>0</v>
      </c>
      <c r="Q87" s="41">
        <f t="shared" si="11"/>
        <v>0</v>
      </c>
      <c r="R87" s="41">
        <f t="shared" si="11"/>
        <v>0</v>
      </c>
      <c r="S87" s="41">
        <f t="shared" si="11"/>
        <v>0</v>
      </c>
      <c r="T87" s="41">
        <f t="shared" si="11"/>
        <v>0</v>
      </c>
      <c r="U87" s="41">
        <f t="shared" si="11"/>
        <v>0</v>
      </c>
      <c r="V87" s="41">
        <f t="shared" si="11"/>
        <v>0</v>
      </c>
      <c r="W87" s="41">
        <f t="shared" si="11"/>
        <v>0</v>
      </c>
      <c r="X87" s="41">
        <f t="shared" si="11"/>
        <v>0</v>
      </c>
      <c r="Y87" s="41">
        <f t="shared" si="11"/>
        <v>0</v>
      </c>
      <c r="Z87" s="41">
        <f t="shared" si="11"/>
        <v>0</v>
      </c>
      <c r="AA87" s="41">
        <f t="shared" si="11"/>
        <v>0</v>
      </c>
      <c r="AB87" s="41">
        <f t="shared" si="11"/>
        <v>0</v>
      </c>
      <c r="AC87" s="41">
        <f t="shared" si="7"/>
        <v>3714133.06</v>
      </c>
      <c r="AD87" s="15"/>
      <c r="AE87" s="66"/>
      <c r="AF87" s="89">
        <f>SUM(AF88:AF93)</f>
        <v>3282247.5</v>
      </c>
      <c r="AG87" s="77">
        <f t="shared" si="9"/>
        <v>88.37183393747343</v>
      </c>
    </row>
    <row r="88" spans="1:33" ht="27.75" customHeight="1">
      <c r="A88" s="9"/>
      <c r="B88" s="56" t="s">
        <v>8</v>
      </c>
      <c r="C88" s="42">
        <v>2415287.11</v>
      </c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2">
        <f t="shared" si="7"/>
        <v>2415287.11</v>
      </c>
      <c r="AD88" s="16"/>
      <c r="AE88" s="66"/>
      <c r="AF88" s="115">
        <f>1817091.18+2152.4+111090+12561.5+64077.04+3600+10682.48+2322.08+29886.95+109194.95+108460</f>
        <v>2271118.58</v>
      </c>
      <c r="AG88" s="79">
        <f t="shared" si="9"/>
        <v>94.03099824434537</v>
      </c>
    </row>
    <row r="89" spans="1:33" ht="46.5" customHeight="1">
      <c r="A89" s="9"/>
      <c r="B89" s="56" t="s">
        <v>9</v>
      </c>
      <c r="C89" s="42">
        <f>781200+180067+186000</f>
        <v>1147267</v>
      </c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2">
        <f t="shared" si="7"/>
        <v>1147267</v>
      </c>
      <c r="AD89" s="16"/>
      <c r="AE89" s="66"/>
      <c r="AF89" s="91">
        <f>129802.78+45117.28+9925.9+16132.5+3549.15+50156.48+11034.42+6420+19681.65+42614.5+9375.19+7351.6+8800+22346.5+4916.23+3005.6+40594.85+8930.87+26290+5783.8+42618.43+9398.54+20315+4469.3+39444.64+8671.01+25095+5520.9+41467.49+9129.67+26887.5+5915.25+32080.88+7139.3+2962.83+146129.18+29866.93</f>
        <v>928941.15</v>
      </c>
      <c r="AG89" s="79">
        <f t="shared" si="9"/>
        <v>80.96991807486836</v>
      </c>
    </row>
    <row r="90" spans="1:33" ht="33.75" customHeight="1">
      <c r="A90" s="9"/>
      <c r="B90" s="56" t="s">
        <v>168</v>
      </c>
      <c r="C90" s="42">
        <v>35000</v>
      </c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2">
        <f t="shared" si="7"/>
        <v>35000</v>
      </c>
      <c r="AD90" s="16"/>
      <c r="AE90" s="66"/>
      <c r="AF90" s="91">
        <v>34981</v>
      </c>
      <c r="AG90" s="79">
        <f t="shared" si="9"/>
        <v>99.94571428571429</v>
      </c>
    </row>
    <row r="91" spans="1:33" ht="24.75" customHeight="1">
      <c r="A91" s="9"/>
      <c r="B91" s="56" t="s">
        <v>169</v>
      </c>
      <c r="C91" s="42">
        <v>44778.95</v>
      </c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2">
        <f t="shared" si="7"/>
        <v>44778.95</v>
      </c>
      <c r="AD91" s="16"/>
      <c r="AE91" s="66"/>
      <c r="AF91" s="91"/>
      <c r="AG91" s="79">
        <f t="shared" si="9"/>
        <v>0</v>
      </c>
    </row>
    <row r="92" spans="1:33" ht="13.5">
      <c r="A92" s="9"/>
      <c r="B92" s="56" t="s">
        <v>57</v>
      </c>
      <c r="C92" s="42">
        <v>39700</v>
      </c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2">
        <f t="shared" si="7"/>
        <v>39700</v>
      </c>
      <c r="AD92" s="16"/>
      <c r="AE92" s="66"/>
      <c r="AF92" s="90">
        <f>7534.82+5001.66+5251.05+4496.36+3259.78+4952.46+857.47+7466.45</f>
        <v>38820.049999999996</v>
      </c>
      <c r="AG92" s="79">
        <f t="shared" si="9"/>
        <v>97.78350125944584</v>
      </c>
    </row>
    <row r="93" spans="1:33" ht="13.5">
      <c r="A93" s="9"/>
      <c r="B93" s="56" t="s">
        <v>58</v>
      </c>
      <c r="C93" s="42">
        <v>32100</v>
      </c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2">
        <f t="shared" si="7"/>
        <v>32100</v>
      </c>
      <c r="AD93" s="33"/>
      <c r="AE93" s="67"/>
      <c r="AF93" s="90">
        <f>1230.14+830.15+486.74+512.5+803.51+898.5+1040.49+756.49+729.73+1098.47</f>
        <v>8386.72</v>
      </c>
      <c r="AG93" s="79">
        <f t="shared" si="9"/>
        <v>26.126853582554517</v>
      </c>
    </row>
    <row r="94" spans="1:33" ht="13.5">
      <c r="A94" s="9" t="s">
        <v>117</v>
      </c>
      <c r="B94" s="55" t="s">
        <v>6</v>
      </c>
      <c r="C94" s="41">
        <f>AC94+AD94</f>
        <v>2600000</v>
      </c>
      <c r="D94" s="41">
        <f aca="true" t="shared" si="12" ref="D94:AB94">SUM(D95:D101)</f>
        <v>0</v>
      </c>
      <c r="E94" s="41">
        <f t="shared" si="12"/>
        <v>0</v>
      </c>
      <c r="F94" s="41">
        <f t="shared" si="12"/>
        <v>0</v>
      </c>
      <c r="G94" s="41">
        <f t="shared" si="12"/>
        <v>0</v>
      </c>
      <c r="H94" s="41">
        <f t="shared" si="12"/>
        <v>0</v>
      </c>
      <c r="I94" s="41">
        <f t="shared" si="12"/>
        <v>0</v>
      </c>
      <c r="J94" s="41">
        <f t="shared" si="12"/>
        <v>0</v>
      </c>
      <c r="K94" s="41">
        <f t="shared" si="12"/>
        <v>0</v>
      </c>
      <c r="L94" s="41">
        <f t="shared" si="12"/>
        <v>0</v>
      </c>
      <c r="M94" s="41">
        <f t="shared" si="12"/>
        <v>0</v>
      </c>
      <c r="N94" s="41">
        <f t="shared" si="12"/>
        <v>0</v>
      </c>
      <c r="O94" s="41">
        <f t="shared" si="12"/>
        <v>0</v>
      </c>
      <c r="P94" s="41">
        <f t="shared" si="12"/>
        <v>0</v>
      </c>
      <c r="Q94" s="41">
        <f t="shared" si="12"/>
        <v>0</v>
      </c>
      <c r="R94" s="41">
        <f t="shared" si="12"/>
        <v>0</v>
      </c>
      <c r="S94" s="41">
        <f t="shared" si="12"/>
        <v>0</v>
      </c>
      <c r="T94" s="41">
        <f t="shared" si="12"/>
        <v>0</v>
      </c>
      <c r="U94" s="41">
        <f t="shared" si="12"/>
        <v>0</v>
      </c>
      <c r="V94" s="41">
        <f t="shared" si="12"/>
        <v>0</v>
      </c>
      <c r="W94" s="41">
        <f t="shared" si="12"/>
        <v>0</v>
      </c>
      <c r="X94" s="41">
        <f t="shared" si="12"/>
        <v>0</v>
      </c>
      <c r="Y94" s="41">
        <f t="shared" si="12"/>
        <v>0</v>
      </c>
      <c r="Z94" s="41">
        <f t="shared" si="12"/>
        <v>0</v>
      </c>
      <c r="AA94" s="41">
        <f t="shared" si="12"/>
        <v>0</v>
      </c>
      <c r="AB94" s="41">
        <f t="shared" si="12"/>
        <v>0</v>
      </c>
      <c r="AC94" s="41">
        <f>AC95+AC96+AC97+AC98</f>
        <v>1100000</v>
      </c>
      <c r="AD94" s="35">
        <f>AD95+AD96+AD97+AD98</f>
        <v>1500000</v>
      </c>
      <c r="AE94" s="68">
        <f>AD94</f>
        <v>1500000</v>
      </c>
      <c r="AF94" s="89">
        <f>AF98+AF97+AF96</f>
        <v>2579611.2</v>
      </c>
      <c r="AG94" s="78">
        <f t="shared" si="9"/>
        <v>99.2158153846154</v>
      </c>
    </row>
    <row r="95" spans="1:33" ht="13.5" hidden="1">
      <c r="A95" s="9"/>
      <c r="B95" s="56" t="s">
        <v>10</v>
      </c>
      <c r="C95" s="42">
        <f>19422023.54+229670.1-19000000-651693.64</f>
        <v>0</v>
      </c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2">
        <f t="shared" si="7"/>
        <v>0</v>
      </c>
      <c r="AD95" s="33"/>
      <c r="AE95" s="69"/>
      <c r="AF95" s="90"/>
      <c r="AG95" s="79" t="e">
        <f t="shared" si="9"/>
        <v>#DIV/0!</v>
      </c>
    </row>
    <row r="96" spans="1:33" ht="13.5">
      <c r="A96" s="9"/>
      <c r="B96" s="56" t="s">
        <v>7</v>
      </c>
      <c r="C96" s="42">
        <v>1000000</v>
      </c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2">
        <f>C96</f>
        <v>1000000</v>
      </c>
      <c r="AD96" s="33"/>
      <c r="AE96" s="69"/>
      <c r="AF96" s="90">
        <v>983400</v>
      </c>
      <c r="AG96" s="79">
        <f t="shared" si="9"/>
        <v>98.34</v>
      </c>
    </row>
    <row r="97" spans="1:33" ht="13.5">
      <c r="A97" s="9"/>
      <c r="B97" s="57" t="s">
        <v>110</v>
      </c>
      <c r="C97" s="42">
        <f>AD97</f>
        <v>1500000</v>
      </c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2"/>
      <c r="AD97" s="44">
        <v>1500000</v>
      </c>
      <c r="AE97" s="70">
        <f>AD97</f>
        <v>1500000</v>
      </c>
      <c r="AF97" s="90">
        <v>1496484</v>
      </c>
      <c r="AG97" s="79">
        <f t="shared" si="9"/>
        <v>99.76559999999999</v>
      </c>
    </row>
    <row r="98" spans="1:33" ht="18" customHeight="1">
      <c r="A98" s="9"/>
      <c r="B98" s="58" t="s">
        <v>127</v>
      </c>
      <c r="C98" s="42">
        <f>AC98</f>
        <v>100000</v>
      </c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2">
        <v>100000</v>
      </c>
      <c r="AD98" s="33"/>
      <c r="AE98" s="69"/>
      <c r="AF98" s="90">
        <v>99727.2</v>
      </c>
      <c r="AG98" s="79">
        <f t="shared" si="9"/>
        <v>99.7272</v>
      </c>
    </row>
    <row r="99" spans="1:33" ht="13.5" customHeight="1" hidden="1">
      <c r="A99" s="9"/>
      <c r="B99" s="57"/>
      <c r="C99" s="42">
        <f>AC99</f>
        <v>0</v>
      </c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2"/>
      <c r="AD99" s="44"/>
      <c r="AE99" s="70"/>
      <c r="AF99" s="92"/>
      <c r="AG99" s="79" t="e">
        <f t="shared" si="9"/>
        <v>#DIV/0!</v>
      </c>
    </row>
    <row r="100" spans="1:33" ht="14.25" customHeight="1" hidden="1" thickBot="1">
      <c r="A100" s="9"/>
      <c r="B100" s="56"/>
      <c r="C100" s="42">
        <f>AC100</f>
        <v>100000</v>
      </c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41">
        <f t="shared" si="7"/>
        <v>0</v>
      </c>
      <c r="AD100" s="45"/>
      <c r="AE100" s="67"/>
      <c r="AF100" s="92"/>
      <c r="AG100" s="79">
        <f t="shared" si="9"/>
        <v>99.7272</v>
      </c>
    </row>
    <row r="101" spans="1:33" ht="13.5" customHeight="1" hidden="1">
      <c r="A101" s="9"/>
      <c r="B101" s="56"/>
      <c r="C101" s="42">
        <f>AC101</f>
        <v>100000</v>
      </c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41">
        <f t="shared" si="7"/>
        <v>0</v>
      </c>
      <c r="AD101" s="45"/>
      <c r="AE101" s="67"/>
      <c r="AF101" s="92"/>
      <c r="AG101" s="79">
        <f t="shared" si="9"/>
        <v>99.7272</v>
      </c>
    </row>
    <row r="102" spans="1:33" ht="29.25" customHeight="1">
      <c r="A102" s="9" t="s">
        <v>118</v>
      </c>
      <c r="B102" s="55" t="s">
        <v>162</v>
      </c>
      <c r="C102" s="41">
        <f>SUM(C103:C104)</f>
        <v>331841.32</v>
      </c>
      <c r="D102" s="41">
        <f aca="true" t="shared" si="13" ref="D102:AB102">SUM(D103:D104)</f>
        <v>0</v>
      </c>
      <c r="E102" s="41">
        <f t="shared" si="13"/>
        <v>0</v>
      </c>
      <c r="F102" s="41">
        <f t="shared" si="13"/>
        <v>0</v>
      </c>
      <c r="G102" s="41">
        <f t="shared" si="13"/>
        <v>0</v>
      </c>
      <c r="H102" s="41">
        <f t="shared" si="13"/>
        <v>0</v>
      </c>
      <c r="I102" s="41">
        <f t="shared" si="13"/>
        <v>0</v>
      </c>
      <c r="J102" s="41">
        <f t="shared" si="13"/>
        <v>0</v>
      </c>
      <c r="K102" s="41">
        <f t="shared" si="13"/>
        <v>0</v>
      </c>
      <c r="L102" s="41">
        <f t="shared" si="13"/>
        <v>0</v>
      </c>
      <c r="M102" s="41">
        <f t="shared" si="13"/>
        <v>0</v>
      </c>
      <c r="N102" s="41">
        <f t="shared" si="13"/>
        <v>0</v>
      </c>
      <c r="O102" s="41">
        <f t="shared" si="13"/>
        <v>0</v>
      </c>
      <c r="P102" s="41">
        <f t="shared" si="13"/>
        <v>0</v>
      </c>
      <c r="Q102" s="41">
        <f t="shared" si="13"/>
        <v>0</v>
      </c>
      <c r="R102" s="41">
        <f t="shared" si="13"/>
        <v>0</v>
      </c>
      <c r="S102" s="41">
        <f t="shared" si="13"/>
        <v>0</v>
      </c>
      <c r="T102" s="41">
        <f t="shared" si="13"/>
        <v>0</v>
      </c>
      <c r="U102" s="41">
        <f t="shared" si="13"/>
        <v>0</v>
      </c>
      <c r="V102" s="41">
        <f t="shared" si="13"/>
        <v>0</v>
      </c>
      <c r="W102" s="41">
        <f t="shared" si="13"/>
        <v>0</v>
      </c>
      <c r="X102" s="41">
        <f t="shared" si="13"/>
        <v>0</v>
      </c>
      <c r="Y102" s="41">
        <f t="shared" si="13"/>
        <v>0</v>
      </c>
      <c r="Z102" s="41">
        <f t="shared" si="13"/>
        <v>0</v>
      </c>
      <c r="AA102" s="41">
        <f t="shared" si="13"/>
        <v>0</v>
      </c>
      <c r="AB102" s="41">
        <f t="shared" si="13"/>
        <v>0</v>
      </c>
      <c r="AC102" s="41">
        <f t="shared" si="7"/>
        <v>331841.32</v>
      </c>
      <c r="AD102" s="46"/>
      <c r="AE102" s="67"/>
      <c r="AF102" s="89">
        <f>SUM(AF103:AF104)</f>
        <v>331841.31</v>
      </c>
      <c r="AG102" s="79">
        <f t="shared" si="9"/>
        <v>99.99999698651149</v>
      </c>
    </row>
    <row r="103" spans="1:33" ht="13.5">
      <c r="A103" s="9"/>
      <c r="B103" s="56" t="s">
        <v>11</v>
      </c>
      <c r="C103" s="42">
        <v>250041.32</v>
      </c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2">
        <f t="shared" si="7"/>
        <v>250041.32</v>
      </c>
      <c r="AD103" s="33"/>
      <c r="AE103" s="67"/>
      <c r="AF103" s="91">
        <f>41185.37+20592.68+20592.69+20592.68+20592.68+21080.87+21080.87+21080.87+21080.87+42161.74</f>
        <v>250041.31999999998</v>
      </c>
      <c r="AG103" s="79">
        <f t="shared" si="9"/>
        <v>99.99999999999999</v>
      </c>
    </row>
    <row r="104" spans="1:33" ht="32.25" customHeight="1">
      <c r="A104" s="9"/>
      <c r="B104" s="56" t="s">
        <v>12</v>
      </c>
      <c r="C104" s="42">
        <v>81800</v>
      </c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2">
        <f t="shared" si="7"/>
        <v>81800</v>
      </c>
      <c r="AD104" s="33"/>
      <c r="AE104" s="67"/>
      <c r="AF104" s="91">
        <f>52000+14522.25+15277.74</f>
        <v>81799.99</v>
      </c>
      <c r="AG104" s="79">
        <f t="shared" si="9"/>
        <v>99.99998777506113</v>
      </c>
    </row>
    <row r="105" spans="1:33" ht="13.5">
      <c r="A105" s="9" t="s">
        <v>119</v>
      </c>
      <c r="B105" s="55" t="s">
        <v>20</v>
      </c>
      <c r="C105" s="41">
        <f>AC105+AD105</f>
        <v>13448892.32</v>
      </c>
      <c r="D105" s="41">
        <f aca="true" t="shared" si="14" ref="D105:AB105">SUM(D106:D110)</f>
        <v>0</v>
      </c>
      <c r="E105" s="41">
        <f t="shared" si="14"/>
        <v>0</v>
      </c>
      <c r="F105" s="41">
        <f t="shared" si="14"/>
        <v>0</v>
      </c>
      <c r="G105" s="41">
        <f t="shared" si="14"/>
        <v>0</v>
      </c>
      <c r="H105" s="41">
        <f t="shared" si="14"/>
        <v>0</v>
      </c>
      <c r="I105" s="41">
        <f t="shared" si="14"/>
        <v>0</v>
      </c>
      <c r="J105" s="41">
        <f t="shared" si="14"/>
        <v>0</v>
      </c>
      <c r="K105" s="41">
        <f t="shared" si="14"/>
        <v>0</v>
      </c>
      <c r="L105" s="41">
        <f t="shared" si="14"/>
        <v>0</v>
      </c>
      <c r="M105" s="41">
        <f t="shared" si="14"/>
        <v>0</v>
      </c>
      <c r="N105" s="41">
        <f t="shared" si="14"/>
        <v>0</v>
      </c>
      <c r="O105" s="41">
        <f t="shared" si="14"/>
        <v>0</v>
      </c>
      <c r="P105" s="41">
        <f t="shared" si="14"/>
        <v>0</v>
      </c>
      <c r="Q105" s="41">
        <f t="shared" si="14"/>
        <v>0</v>
      </c>
      <c r="R105" s="41">
        <f t="shared" si="14"/>
        <v>0</v>
      </c>
      <c r="S105" s="41">
        <f t="shared" si="14"/>
        <v>0</v>
      </c>
      <c r="T105" s="41">
        <f t="shared" si="14"/>
        <v>0</v>
      </c>
      <c r="U105" s="41">
        <f t="shared" si="14"/>
        <v>0</v>
      </c>
      <c r="V105" s="41">
        <f t="shared" si="14"/>
        <v>0</v>
      </c>
      <c r="W105" s="41">
        <f t="shared" si="14"/>
        <v>0</v>
      </c>
      <c r="X105" s="41">
        <f t="shared" si="14"/>
        <v>0</v>
      </c>
      <c r="Y105" s="41">
        <f t="shared" si="14"/>
        <v>0</v>
      </c>
      <c r="Z105" s="41">
        <f t="shared" si="14"/>
        <v>0</v>
      </c>
      <c r="AA105" s="41">
        <f t="shared" si="14"/>
        <v>0</v>
      </c>
      <c r="AB105" s="41">
        <f t="shared" si="14"/>
        <v>0</v>
      </c>
      <c r="AC105" s="41">
        <f>AC106+AC110+AC111+AC112</f>
        <v>12748892.32</v>
      </c>
      <c r="AD105" s="41">
        <f>AD106+AD110+AD111+AD112</f>
        <v>700000</v>
      </c>
      <c r="AE105" s="41">
        <f>AE106+AE110+AE111+AE112</f>
        <v>700000</v>
      </c>
      <c r="AF105" s="89">
        <f>AF106+AF110+AF111+AF112</f>
        <v>10991714.63</v>
      </c>
      <c r="AG105" s="78">
        <f t="shared" si="9"/>
        <v>81.72951621936996</v>
      </c>
    </row>
    <row r="106" spans="1:33" ht="46.5" customHeight="1">
      <c r="A106" s="9"/>
      <c r="B106" s="56" t="s">
        <v>212</v>
      </c>
      <c r="C106" s="42">
        <f>8326507.14+1750000+1400000+198000+579285.18+265000-40000+40000</f>
        <v>12518792.32</v>
      </c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2">
        <f t="shared" si="7"/>
        <v>12518792.32</v>
      </c>
      <c r="AD106" s="33"/>
      <c r="AE106" s="69"/>
      <c r="AF106" s="91">
        <f>8940416.65+1921.66+16748.16+400726+11402.35+423487.01+485740.85+189613.05+15000+37520+153528.46+57480+40000</f>
        <v>10773584.190000001</v>
      </c>
      <c r="AG106" s="79">
        <f t="shared" si="9"/>
        <v>86.05929321783015</v>
      </c>
    </row>
    <row r="107" spans="1:33" ht="39" customHeight="1">
      <c r="A107" s="9"/>
      <c r="B107" s="128" t="s">
        <v>216</v>
      </c>
      <c r="C107" s="42">
        <f>15000</f>
        <v>15000</v>
      </c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2">
        <f t="shared" si="7"/>
        <v>15000</v>
      </c>
      <c r="AD107" s="33"/>
      <c r="AE107" s="69"/>
      <c r="AF107" s="91">
        <v>15000</v>
      </c>
      <c r="AG107" s="79">
        <f t="shared" si="9"/>
        <v>100</v>
      </c>
    </row>
    <row r="108" spans="1:33" ht="34.5" customHeight="1">
      <c r="A108" s="9"/>
      <c r="B108" s="128" t="s">
        <v>213</v>
      </c>
      <c r="C108" s="42">
        <f>50000</f>
        <v>50000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2">
        <f t="shared" si="7"/>
        <v>50000</v>
      </c>
      <c r="AD108" s="33"/>
      <c r="AE108" s="69"/>
      <c r="AF108" s="91">
        <v>50000</v>
      </c>
      <c r="AG108" s="79">
        <f t="shared" si="9"/>
        <v>100</v>
      </c>
    </row>
    <row r="109" spans="1:33" ht="36" customHeight="1">
      <c r="A109" s="9"/>
      <c r="B109" s="128" t="s">
        <v>215</v>
      </c>
      <c r="C109" s="42">
        <v>234000</v>
      </c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2">
        <f t="shared" si="7"/>
        <v>234000</v>
      </c>
      <c r="AD109" s="33"/>
      <c r="AE109" s="69"/>
      <c r="AF109" s="91">
        <f>37520+124125+14875+57480</f>
        <v>234000</v>
      </c>
      <c r="AG109" s="79">
        <f t="shared" si="9"/>
        <v>100</v>
      </c>
    </row>
    <row r="110" spans="1:33" ht="42">
      <c r="A110" s="9"/>
      <c r="B110" s="56" t="s">
        <v>13</v>
      </c>
      <c r="C110" s="42">
        <v>150000</v>
      </c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2">
        <f>C110</f>
        <v>150000</v>
      </c>
      <c r="AD110" s="16"/>
      <c r="AE110" s="71"/>
      <c r="AF110" s="91">
        <f>23789.68+114240.76</f>
        <v>138030.44</v>
      </c>
      <c r="AG110" s="79">
        <f t="shared" si="9"/>
        <v>92.02029333333334</v>
      </c>
    </row>
    <row r="111" spans="1:33" ht="13.5">
      <c r="A111" s="9"/>
      <c r="B111" s="26" t="s">
        <v>111</v>
      </c>
      <c r="C111" s="42">
        <f>AD111</f>
        <v>700000</v>
      </c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2"/>
      <c r="AD111" s="32">
        <v>700000</v>
      </c>
      <c r="AE111" s="72">
        <f>AD111</f>
        <v>700000</v>
      </c>
      <c r="AF111" s="90"/>
      <c r="AG111" s="79">
        <f t="shared" si="9"/>
        <v>0</v>
      </c>
    </row>
    <row r="112" spans="1:33" ht="19.5" customHeight="1">
      <c r="A112" s="9"/>
      <c r="B112" s="56" t="s">
        <v>157</v>
      </c>
      <c r="C112" s="42">
        <f>AD112+AC112</f>
        <v>80100</v>
      </c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60">
        <v>80100</v>
      </c>
      <c r="AD112" s="32"/>
      <c r="AE112" s="72"/>
      <c r="AF112" s="91">
        <v>80100</v>
      </c>
      <c r="AG112" s="79">
        <f t="shared" si="9"/>
        <v>100</v>
      </c>
    </row>
    <row r="113" spans="1:33" ht="27.75">
      <c r="A113" s="9" t="s">
        <v>120</v>
      </c>
      <c r="B113" s="55" t="s">
        <v>45</v>
      </c>
      <c r="C113" s="41">
        <f>SUM(C114:C114)</f>
        <v>121704.97</v>
      </c>
      <c r="D113" s="41">
        <f aca="true" t="shared" si="15" ref="D113:AB113">SUM(D114:D114)</f>
        <v>0</v>
      </c>
      <c r="E113" s="41">
        <f t="shared" si="15"/>
        <v>0</v>
      </c>
      <c r="F113" s="41">
        <f t="shared" si="15"/>
        <v>0</v>
      </c>
      <c r="G113" s="41">
        <f t="shared" si="15"/>
        <v>0</v>
      </c>
      <c r="H113" s="41">
        <f t="shared" si="15"/>
        <v>0</v>
      </c>
      <c r="I113" s="41">
        <f t="shared" si="15"/>
        <v>0</v>
      </c>
      <c r="J113" s="41">
        <f t="shared" si="15"/>
        <v>0</v>
      </c>
      <c r="K113" s="41">
        <f t="shared" si="15"/>
        <v>0</v>
      </c>
      <c r="L113" s="41">
        <f t="shared" si="15"/>
        <v>0</v>
      </c>
      <c r="M113" s="41">
        <f t="shared" si="15"/>
        <v>0</v>
      </c>
      <c r="N113" s="41">
        <f t="shared" si="15"/>
        <v>0</v>
      </c>
      <c r="O113" s="41">
        <f t="shared" si="15"/>
        <v>0</v>
      </c>
      <c r="P113" s="41">
        <f t="shared" si="15"/>
        <v>0</v>
      </c>
      <c r="Q113" s="41">
        <f t="shared" si="15"/>
        <v>0</v>
      </c>
      <c r="R113" s="41">
        <f t="shared" si="15"/>
        <v>0</v>
      </c>
      <c r="S113" s="41">
        <f t="shared" si="15"/>
        <v>0</v>
      </c>
      <c r="T113" s="41">
        <f t="shared" si="15"/>
        <v>0</v>
      </c>
      <c r="U113" s="41">
        <f t="shared" si="15"/>
        <v>0</v>
      </c>
      <c r="V113" s="41">
        <f t="shared" si="15"/>
        <v>0</v>
      </c>
      <c r="W113" s="41">
        <f t="shared" si="15"/>
        <v>0</v>
      </c>
      <c r="X113" s="41">
        <f t="shared" si="15"/>
        <v>0</v>
      </c>
      <c r="Y113" s="41">
        <f t="shared" si="15"/>
        <v>0</v>
      </c>
      <c r="Z113" s="41">
        <f t="shared" si="15"/>
        <v>0</v>
      </c>
      <c r="AA113" s="41">
        <f t="shared" si="15"/>
        <v>0</v>
      </c>
      <c r="AB113" s="41">
        <f t="shared" si="15"/>
        <v>0</v>
      </c>
      <c r="AC113" s="41">
        <f t="shared" si="7"/>
        <v>121704.97</v>
      </c>
      <c r="AD113" s="15"/>
      <c r="AE113" s="66"/>
      <c r="AF113" s="89">
        <f>SUM(AF114:AF114)</f>
        <v>119004</v>
      </c>
      <c r="AG113" s="78">
        <f t="shared" si="9"/>
        <v>97.78072333447024</v>
      </c>
    </row>
    <row r="114" spans="1:33" ht="23.25" customHeight="1">
      <c r="A114" s="9"/>
      <c r="B114" s="56" t="s">
        <v>46</v>
      </c>
      <c r="C114" s="42">
        <f>102000+19704.97</f>
        <v>121704.97</v>
      </c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2">
        <f t="shared" si="7"/>
        <v>121704.97</v>
      </c>
      <c r="AD114" s="16"/>
      <c r="AE114" s="66"/>
      <c r="AF114" s="91">
        <f>99616.15+19387.85</f>
        <v>119004</v>
      </c>
      <c r="AG114" s="79">
        <f t="shared" si="9"/>
        <v>97.78072333447024</v>
      </c>
    </row>
    <row r="115" spans="1:33" ht="13.5">
      <c r="A115" s="9" t="s">
        <v>121</v>
      </c>
      <c r="B115" s="55" t="s">
        <v>1</v>
      </c>
      <c r="C115" s="41">
        <f>SUM(C116:C117)</f>
        <v>851133.72</v>
      </c>
      <c r="D115" s="41">
        <f aca="true" t="shared" si="16" ref="D115:AB115">SUM(D116:D117)</f>
        <v>0</v>
      </c>
      <c r="E115" s="41">
        <f t="shared" si="16"/>
        <v>0</v>
      </c>
      <c r="F115" s="41">
        <f t="shared" si="16"/>
        <v>0</v>
      </c>
      <c r="G115" s="41">
        <f t="shared" si="16"/>
        <v>0</v>
      </c>
      <c r="H115" s="41">
        <f t="shared" si="16"/>
        <v>0</v>
      </c>
      <c r="I115" s="41">
        <f t="shared" si="16"/>
        <v>0</v>
      </c>
      <c r="J115" s="41">
        <f t="shared" si="16"/>
        <v>0</v>
      </c>
      <c r="K115" s="41">
        <f t="shared" si="16"/>
        <v>0</v>
      </c>
      <c r="L115" s="41">
        <f t="shared" si="16"/>
        <v>0</v>
      </c>
      <c r="M115" s="41">
        <f t="shared" si="16"/>
        <v>0</v>
      </c>
      <c r="N115" s="41">
        <f t="shared" si="16"/>
        <v>0</v>
      </c>
      <c r="O115" s="41">
        <f t="shared" si="16"/>
        <v>0</v>
      </c>
      <c r="P115" s="41">
        <f t="shared" si="16"/>
        <v>0</v>
      </c>
      <c r="Q115" s="41">
        <f t="shared" si="16"/>
        <v>0</v>
      </c>
      <c r="R115" s="41">
        <f t="shared" si="16"/>
        <v>0</v>
      </c>
      <c r="S115" s="41">
        <f t="shared" si="16"/>
        <v>0</v>
      </c>
      <c r="T115" s="41">
        <f t="shared" si="16"/>
        <v>0</v>
      </c>
      <c r="U115" s="41">
        <f t="shared" si="16"/>
        <v>0</v>
      </c>
      <c r="V115" s="41">
        <f t="shared" si="16"/>
        <v>0</v>
      </c>
      <c r="W115" s="41">
        <f t="shared" si="16"/>
        <v>0</v>
      </c>
      <c r="X115" s="41">
        <f t="shared" si="16"/>
        <v>0</v>
      </c>
      <c r="Y115" s="41">
        <f t="shared" si="16"/>
        <v>0</v>
      </c>
      <c r="Z115" s="41">
        <f t="shared" si="16"/>
        <v>0</v>
      </c>
      <c r="AA115" s="41">
        <f t="shared" si="16"/>
        <v>0</v>
      </c>
      <c r="AB115" s="41">
        <f t="shared" si="16"/>
        <v>0</v>
      </c>
      <c r="AC115" s="41">
        <f t="shared" si="7"/>
        <v>851133.72</v>
      </c>
      <c r="AD115" s="15"/>
      <c r="AE115" s="66"/>
      <c r="AF115" s="89">
        <f>SUM(AF116:AF117)</f>
        <v>762317.8600000001</v>
      </c>
      <c r="AG115" s="78">
        <f t="shared" si="9"/>
        <v>89.56499338317839</v>
      </c>
    </row>
    <row r="116" spans="1:33" ht="13.5">
      <c r="A116" s="9"/>
      <c r="B116" s="56" t="s">
        <v>59</v>
      </c>
      <c r="C116" s="42">
        <v>751133.72</v>
      </c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2">
        <f t="shared" si="7"/>
        <v>751133.72</v>
      </c>
      <c r="AD116" s="16"/>
      <c r="AE116" s="66"/>
      <c r="AF116" s="90">
        <f>489369.46+67184.23+178391.37</f>
        <v>734945.06</v>
      </c>
      <c r="AG116" s="79">
        <f t="shared" si="9"/>
        <v>97.84476990328702</v>
      </c>
    </row>
    <row r="117" spans="1:33" ht="13.5">
      <c r="A117" s="9"/>
      <c r="B117" s="56" t="s">
        <v>30</v>
      </c>
      <c r="C117" s="42">
        <v>100000</v>
      </c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2">
        <f t="shared" si="7"/>
        <v>100000</v>
      </c>
      <c r="AD117" s="16"/>
      <c r="AE117" s="66"/>
      <c r="AF117" s="90">
        <f>6764.94+4155.7+1905.74+2325.52+2271.44+3547.54+3472.67+1364.06+1565.19</f>
        <v>27372.800000000003</v>
      </c>
      <c r="AG117" s="79">
        <f t="shared" si="9"/>
        <v>27.3728</v>
      </c>
    </row>
    <row r="118" spans="1:33" ht="13.5">
      <c r="A118" s="9" t="s">
        <v>122</v>
      </c>
      <c r="B118" s="55" t="s">
        <v>31</v>
      </c>
      <c r="C118" s="41">
        <v>188376.21</v>
      </c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41">
        <f t="shared" si="7"/>
        <v>188376.21</v>
      </c>
      <c r="AD118" s="16"/>
      <c r="AE118" s="66"/>
      <c r="AF118" s="89">
        <f>40000+62359+32745.2+53272</f>
        <v>188376.2</v>
      </c>
      <c r="AG118" s="79">
        <f t="shared" si="9"/>
        <v>99.99999469147406</v>
      </c>
    </row>
    <row r="119" spans="1:33" ht="13.5">
      <c r="A119" s="9" t="s">
        <v>123</v>
      </c>
      <c r="B119" s="55" t="s">
        <v>164</v>
      </c>
      <c r="C119" s="41">
        <f>SUM(C120:C121)</f>
        <v>97441</v>
      </c>
      <c r="D119" s="41">
        <f aca="true" t="shared" si="17" ref="D119:AB119">SUM(D120:D121)</f>
        <v>0</v>
      </c>
      <c r="E119" s="41">
        <f t="shared" si="17"/>
        <v>0</v>
      </c>
      <c r="F119" s="41">
        <f t="shared" si="17"/>
        <v>0</v>
      </c>
      <c r="G119" s="41">
        <f t="shared" si="17"/>
        <v>0</v>
      </c>
      <c r="H119" s="41">
        <f t="shared" si="17"/>
        <v>0</v>
      </c>
      <c r="I119" s="41">
        <f t="shared" si="17"/>
        <v>0</v>
      </c>
      <c r="J119" s="41">
        <f t="shared" si="17"/>
        <v>0</v>
      </c>
      <c r="K119" s="41">
        <f t="shared" si="17"/>
        <v>0</v>
      </c>
      <c r="L119" s="41">
        <f t="shared" si="17"/>
        <v>0</v>
      </c>
      <c r="M119" s="41">
        <f t="shared" si="17"/>
        <v>0</v>
      </c>
      <c r="N119" s="41">
        <f t="shared" si="17"/>
        <v>0</v>
      </c>
      <c r="O119" s="41">
        <f t="shared" si="17"/>
        <v>0</v>
      </c>
      <c r="P119" s="41">
        <f t="shared" si="17"/>
        <v>0</v>
      </c>
      <c r="Q119" s="41">
        <f t="shared" si="17"/>
        <v>0</v>
      </c>
      <c r="R119" s="41">
        <f t="shared" si="17"/>
        <v>0</v>
      </c>
      <c r="S119" s="41">
        <f t="shared" si="17"/>
        <v>0</v>
      </c>
      <c r="T119" s="41">
        <f t="shared" si="17"/>
        <v>0</v>
      </c>
      <c r="U119" s="41">
        <f t="shared" si="17"/>
        <v>0</v>
      </c>
      <c r="V119" s="41">
        <f t="shared" si="17"/>
        <v>0</v>
      </c>
      <c r="W119" s="41">
        <f t="shared" si="17"/>
        <v>0</v>
      </c>
      <c r="X119" s="41">
        <f t="shared" si="17"/>
        <v>0</v>
      </c>
      <c r="Y119" s="41">
        <f t="shared" si="17"/>
        <v>0</v>
      </c>
      <c r="Z119" s="41">
        <f t="shared" si="17"/>
        <v>0</v>
      </c>
      <c r="AA119" s="41">
        <f t="shared" si="17"/>
        <v>0</v>
      </c>
      <c r="AB119" s="41">
        <f t="shared" si="17"/>
        <v>0</v>
      </c>
      <c r="AC119" s="41">
        <f t="shared" si="7"/>
        <v>97441</v>
      </c>
      <c r="AD119" s="48"/>
      <c r="AE119" s="66"/>
      <c r="AF119" s="89">
        <f>SUM(AF120:AF121)</f>
        <v>93696.51999999999</v>
      </c>
      <c r="AG119" s="78">
        <f t="shared" si="9"/>
        <v>96.15718229492718</v>
      </c>
    </row>
    <row r="120" spans="1:33" ht="13.5">
      <c r="A120" s="9"/>
      <c r="B120" s="56" t="s">
        <v>32</v>
      </c>
      <c r="C120" s="42">
        <v>93250</v>
      </c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2">
        <f t="shared" si="7"/>
        <v>93250</v>
      </c>
      <c r="AD120" s="16"/>
      <c r="AE120" s="66"/>
      <c r="AF120" s="90">
        <f>27053.44-4752.8+21602.9+20816.5+14571.55+10371.2</f>
        <v>89662.79</v>
      </c>
      <c r="AG120" s="79">
        <f t="shared" si="9"/>
        <v>96.15312600536193</v>
      </c>
    </row>
    <row r="121" spans="1:33" ht="13.5">
      <c r="A121" s="9"/>
      <c r="B121" s="56" t="s">
        <v>60</v>
      </c>
      <c r="C121" s="42">
        <v>4191</v>
      </c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2">
        <f t="shared" si="7"/>
        <v>4191</v>
      </c>
      <c r="AD121" s="16"/>
      <c r="AE121" s="66"/>
      <c r="AF121" s="90">
        <f>400.51+657.98+772.42+986.98+1215.84</f>
        <v>4033.7299999999996</v>
      </c>
      <c r="AG121" s="79">
        <f t="shared" si="9"/>
        <v>96.24743497971843</v>
      </c>
    </row>
    <row r="122" spans="1:33" ht="13.5">
      <c r="A122" s="9" t="s">
        <v>124</v>
      </c>
      <c r="B122" s="55" t="s">
        <v>163</v>
      </c>
      <c r="C122" s="41">
        <f>SUM(C123:C124)</f>
        <v>31520</v>
      </c>
      <c r="D122" s="41">
        <f aca="true" t="shared" si="18" ref="D122:AB122">SUM(D123:D124)</f>
        <v>0</v>
      </c>
      <c r="E122" s="41">
        <f t="shared" si="18"/>
        <v>0</v>
      </c>
      <c r="F122" s="41">
        <f t="shared" si="18"/>
        <v>0</v>
      </c>
      <c r="G122" s="41">
        <f t="shared" si="18"/>
        <v>0</v>
      </c>
      <c r="H122" s="41">
        <f t="shared" si="18"/>
        <v>0</v>
      </c>
      <c r="I122" s="41">
        <f t="shared" si="18"/>
        <v>0</v>
      </c>
      <c r="J122" s="41">
        <f t="shared" si="18"/>
        <v>0</v>
      </c>
      <c r="K122" s="41">
        <f t="shared" si="18"/>
        <v>0</v>
      </c>
      <c r="L122" s="41">
        <f t="shared" si="18"/>
        <v>0</v>
      </c>
      <c r="M122" s="41">
        <f t="shared" si="18"/>
        <v>0</v>
      </c>
      <c r="N122" s="41">
        <f t="shared" si="18"/>
        <v>0</v>
      </c>
      <c r="O122" s="41">
        <f t="shared" si="18"/>
        <v>0</v>
      </c>
      <c r="P122" s="41">
        <f t="shared" si="18"/>
        <v>0</v>
      </c>
      <c r="Q122" s="41">
        <f t="shared" si="18"/>
        <v>0</v>
      </c>
      <c r="R122" s="41">
        <f t="shared" si="18"/>
        <v>0</v>
      </c>
      <c r="S122" s="41">
        <f t="shared" si="18"/>
        <v>0</v>
      </c>
      <c r="T122" s="41">
        <f t="shared" si="18"/>
        <v>0</v>
      </c>
      <c r="U122" s="41">
        <f t="shared" si="18"/>
        <v>0</v>
      </c>
      <c r="V122" s="41">
        <f t="shared" si="18"/>
        <v>0</v>
      </c>
      <c r="W122" s="41">
        <f t="shared" si="18"/>
        <v>0</v>
      </c>
      <c r="X122" s="41">
        <f t="shared" si="18"/>
        <v>0</v>
      </c>
      <c r="Y122" s="41">
        <f t="shared" si="18"/>
        <v>0</v>
      </c>
      <c r="Z122" s="41">
        <f t="shared" si="18"/>
        <v>0</v>
      </c>
      <c r="AA122" s="41">
        <f t="shared" si="18"/>
        <v>0</v>
      </c>
      <c r="AB122" s="41">
        <f t="shared" si="18"/>
        <v>0</v>
      </c>
      <c r="AC122" s="41">
        <f t="shared" si="7"/>
        <v>31520</v>
      </c>
      <c r="AD122" s="16"/>
      <c r="AE122" s="66"/>
      <c r="AF122" s="89">
        <f>SUM(AF123:AF124)</f>
        <v>2417.91</v>
      </c>
      <c r="AG122" s="78">
        <f t="shared" si="9"/>
        <v>7.671034263959391</v>
      </c>
    </row>
    <row r="123" spans="1:33" ht="13.5">
      <c r="A123" s="9"/>
      <c r="B123" s="56" t="s">
        <v>33</v>
      </c>
      <c r="C123" s="42">
        <v>5331.2</v>
      </c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2">
        <f t="shared" si="7"/>
        <v>5331.2</v>
      </c>
      <c r="AD123" s="16"/>
      <c r="AE123" s="66"/>
      <c r="AF123" s="90">
        <f>570.07+1786.59</f>
        <v>2356.66</v>
      </c>
      <c r="AG123" s="79">
        <f t="shared" si="9"/>
        <v>44.20505702280912</v>
      </c>
    </row>
    <row r="124" spans="1:33" ht="13.5">
      <c r="A124" s="9"/>
      <c r="B124" s="56" t="s">
        <v>61</v>
      </c>
      <c r="C124" s="42">
        <v>26188.8</v>
      </c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2">
        <f t="shared" si="7"/>
        <v>26188.8</v>
      </c>
      <c r="AD124" s="16"/>
      <c r="AE124" s="66"/>
      <c r="AF124" s="90">
        <v>61.25</v>
      </c>
      <c r="AG124" s="79">
        <f t="shared" si="9"/>
        <v>0.2338786045943304</v>
      </c>
    </row>
    <row r="125" spans="1:33" ht="13.5">
      <c r="A125" s="9" t="s">
        <v>132</v>
      </c>
      <c r="B125" s="55" t="s">
        <v>133</v>
      </c>
      <c r="C125" s="41">
        <f>1500000-186000-265000-599081.16</f>
        <v>449918.83999999997</v>
      </c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1">
        <f t="shared" si="7"/>
        <v>449918.83999999997</v>
      </c>
      <c r="AD125" s="16"/>
      <c r="AE125" s="66"/>
      <c r="AF125" s="92"/>
      <c r="AG125" s="77">
        <f t="shared" si="9"/>
        <v>0</v>
      </c>
    </row>
    <row r="126" spans="1:33" s="3" customFormat="1" ht="23.25" customHeight="1">
      <c r="A126" s="22" t="s">
        <v>108</v>
      </c>
      <c r="B126" s="59" t="s">
        <v>51</v>
      </c>
      <c r="C126" s="40">
        <f>C127</f>
        <v>32849</v>
      </c>
      <c r="D126" s="40">
        <f aca="true" t="shared" si="19" ref="D126:AB126">D127</f>
        <v>0</v>
      </c>
      <c r="E126" s="40">
        <f t="shared" si="19"/>
        <v>0</v>
      </c>
      <c r="F126" s="40">
        <f t="shared" si="19"/>
        <v>0</v>
      </c>
      <c r="G126" s="40">
        <f t="shared" si="19"/>
        <v>0</v>
      </c>
      <c r="H126" s="40">
        <f t="shared" si="19"/>
        <v>0</v>
      </c>
      <c r="I126" s="40">
        <f t="shared" si="19"/>
        <v>0</v>
      </c>
      <c r="J126" s="40">
        <f t="shared" si="19"/>
        <v>0</v>
      </c>
      <c r="K126" s="40">
        <f t="shared" si="19"/>
        <v>0</v>
      </c>
      <c r="L126" s="40">
        <f t="shared" si="19"/>
        <v>0</v>
      </c>
      <c r="M126" s="40">
        <f t="shared" si="19"/>
        <v>0</v>
      </c>
      <c r="N126" s="40">
        <f t="shared" si="19"/>
        <v>0</v>
      </c>
      <c r="O126" s="40">
        <f t="shared" si="19"/>
        <v>0</v>
      </c>
      <c r="P126" s="40">
        <f t="shared" si="19"/>
        <v>0</v>
      </c>
      <c r="Q126" s="40">
        <f t="shared" si="19"/>
        <v>0</v>
      </c>
      <c r="R126" s="40">
        <f t="shared" si="19"/>
        <v>0</v>
      </c>
      <c r="S126" s="40">
        <f t="shared" si="19"/>
        <v>0</v>
      </c>
      <c r="T126" s="40">
        <f t="shared" si="19"/>
        <v>0</v>
      </c>
      <c r="U126" s="40">
        <f t="shared" si="19"/>
        <v>0</v>
      </c>
      <c r="V126" s="40">
        <f t="shared" si="19"/>
        <v>0</v>
      </c>
      <c r="W126" s="40">
        <f t="shared" si="19"/>
        <v>0</v>
      </c>
      <c r="X126" s="40">
        <f t="shared" si="19"/>
        <v>0</v>
      </c>
      <c r="Y126" s="40">
        <f t="shared" si="19"/>
        <v>0</v>
      </c>
      <c r="Z126" s="40">
        <f t="shared" si="19"/>
        <v>0</v>
      </c>
      <c r="AA126" s="40">
        <f t="shared" si="19"/>
        <v>0</v>
      </c>
      <c r="AB126" s="40">
        <f t="shared" si="19"/>
        <v>0</v>
      </c>
      <c r="AC126" s="40">
        <f>AC127</f>
        <v>32849</v>
      </c>
      <c r="AD126" s="17"/>
      <c r="AE126" s="73"/>
      <c r="AF126" s="93">
        <f>AF127</f>
        <v>32827.39</v>
      </c>
      <c r="AG126" s="76">
        <f t="shared" si="9"/>
        <v>99.93421413132819</v>
      </c>
    </row>
    <row r="127" spans="1:33" ht="27.75">
      <c r="A127" s="9" t="s">
        <v>125</v>
      </c>
      <c r="B127" s="114" t="s">
        <v>24</v>
      </c>
      <c r="C127" s="38">
        <v>32849</v>
      </c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80">
        <f>C127</f>
        <v>32849</v>
      </c>
      <c r="AD127" s="16"/>
      <c r="AE127" s="66"/>
      <c r="AF127" s="131">
        <v>32827.39</v>
      </c>
      <c r="AG127" s="77">
        <f t="shared" si="9"/>
        <v>99.93421413132819</v>
      </c>
    </row>
    <row r="128" spans="1:33" s="3" customFormat="1" ht="15">
      <c r="A128" s="22" t="s">
        <v>109</v>
      </c>
      <c r="B128" s="59" t="s">
        <v>28</v>
      </c>
      <c r="C128" s="40">
        <f>AC128</f>
        <v>832234.5</v>
      </c>
      <c r="D128" s="40">
        <f aca="true" t="shared" si="20" ref="D128:AB128">SUM(D130:D135)</f>
        <v>0</v>
      </c>
      <c r="E128" s="40">
        <f t="shared" si="20"/>
        <v>0</v>
      </c>
      <c r="F128" s="40">
        <f t="shared" si="20"/>
        <v>0</v>
      </c>
      <c r="G128" s="40">
        <f t="shared" si="20"/>
        <v>0</v>
      </c>
      <c r="H128" s="40">
        <f t="shared" si="20"/>
        <v>0</v>
      </c>
      <c r="I128" s="40">
        <f t="shared" si="20"/>
        <v>0</v>
      </c>
      <c r="J128" s="40">
        <f t="shared" si="20"/>
        <v>0</v>
      </c>
      <c r="K128" s="40">
        <f t="shared" si="20"/>
        <v>0</v>
      </c>
      <c r="L128" s="40">
        <f t="shared" si="20"/>
        <v>0</v>
      </c>
      <c r="M128" s="40">
        <f t="shared" si="20"/>
        <v>0</v>
      </c>
      <c r="N128" s="40">
        <f t="shared" si="20"/>
        <v>0</v>
      </c>
      <c r="O128" s="40">
        <f t="shared" si="20"/>
        <v>0</v>
      </c>
      <c r="P128" s="40">
        <f t="shared" si="20"/>
        <v>0</v>
      </c>
      <c r="Q128" s="40">
        <f t="shared" si="20"/>
        <v>0</v>
      </c>
      <c r="R128" s="40">
        <f t="shared" si="20"/>
        <v>0</v>
      </c>
      <c r="S128" s="40">
        <f t="shared" si="20"/>
        <v>0</v>
      </c>
      <c r="T128" s="40">
        <f t="shared" si="20"/>
        <v>0</v>
      </c>
      <c r="U128" s="40">
        <f t="shared" si="20"/>
        <v>0</v>
      </c>
      <c r="V128" s="40">
        <f t="shared" si="20"/>
        <v>0</v>
      </c>
      <c r="W128" s="40">
        <f t="shared" si="20"/>
        <v>0</v>
      </c>
      <c r="X128" s="40">
        <f t="shared" si="20"/>
        <v>0</v>
      </c>
      <c r="Y128" s="40">
        <f t="shared" si="20"/>
        <v>0</v>
      </c>
      <c r="Z128" s="40">
        <f t="shared" si="20"/>
        <v>0</v>
      </c>
      <c r="AA128" s="40">
        <f t="shared" si="20"/>
        <v>0</v>
      </c>
      <c r="AB128" s="40">
        <f t="shared" si="20"/>
        <v>0</v>
      </c>
      <c r="AC128" s="40">
        <f>AC130+AC131</f>
        <v>832234.5</v>
      </c>
      <c r="AD128" s="34">
        <f>AD135</f>
        <v>0</v>
      </c>
      <c r="AE128" s="65">
        <f>AD128</f>
        <v>0</v>
      </c>
      <c r="AF128" s="93">
        <f>AF129+AF135</f>
        <v>686119.1900000001</v>
      </c>
      <c r="AG128" s="76">
        <f t="shared" si="9"/>
        <v>82.44301215582868</v>
      </c>
    </row>
    <row r="129" spans="1:33" ht="21" customHeight="1">
      <c r="A129" s="9" t="s">
        <v>112</v>
      </c>
      <c r="B129" s="55" t="s">
        <v>53</v>
      </c>
      <c r="C129" s="41">
        <f>C130+C131</f>
        <v>832234.5</v>
      </c>
      <c r="D129" s="41">
        <f aca="true" t="shared" si="21" ref="D129:AB129">D130+D135</f>
        <v>0</v>
      </c>
      <c r="E129" s="41">
        <f t="shared" si="21"/>
        <v>0</v>
      </c>
      <c r="F129" s="41">
        <f t="shared" si="21"/>
        <v>0</v>
      </c>
      <c r="G129" s="41">
        <f t="shared" si="21"/>
        <v>0</v>
      </c>
      <c r="H129" s="41">
        <f t="shared" si="21"/>
        <v>0</v>
      </c>
      <c r="I129" s="41">
        <f t="shared" si="21"/>
        <v>0</v>
      </c>
      <c r="J129" s="41">
        <f t="shared" si="21"/>
        <v>0</v>
      </c>
      <c r="K129" s="41">
        <f t="shared" si="21"/>
        <v>0</v>
      </c>
      <c r="L129" s="41">
        <f t="shared" si="21"/>
        <v>0</v>
      </c>
      <c r="M129" s="41">
        <f t="shared" si="21"/>
        <v>0</v>
      </c>
      <c r="N129" s="41">
        <f t="shared" si="21"/>
        <v>0</v>
      </c>
      <c r="O129" s="41">
        <f t="shared" si="21"/>
        <v>0</v>
      </c>
      <c r="P129" s="41">
        <f t="shared" si="21"/>
        <v>0</v>
      </c>
      <c r="Q129" s="41">
        <f t="shared" si="21"/>
        <v>0</v>
      </c>
      <c r="R129" s="41">
        <f t="shared" si="21"/>
        <v>0</v>
      </c>
      <c r="S129" s="41">
        <f t="shared" si="21"/>
        <v>0</v>
      </c>
      <c r="T129" s="41">
        <f t="shared" si="21"/>
        <v>0</v>
      </c>
      <c r="U129" s="41">
        <f t="shared" si="21"/>
        <v>0</v>
      </c>
      <c r="V129" s="41">
        <f t="shared" si="21"/>
        <v>0</v>
      </c>
      <c r="W129" s="41">
        <f t="shared" si="21"/>
        <v>0</v>
      </c>
      <c r="X129" s="41">
        <f t="shared" si="21"/>
        <v>0</v>
      </c>
      <c r="Y129" s="41">
        <f t="shared" si="21"/>
        <v>0</v>
      </c>
      <c r="Z129" s="41">
        <f t="shared" si="21"/>
        <v>0</v>
      </c>
      <c r="AA129" s="41">
        <f t="shared" si="21"/>
        <v>0</v>
      </c>
      <c r="AB129" s="41">
        <f t="shared" si="21"/>
        <v>0</v>
      </c>
      <c r="AC129" s="41">
        <f>C129</f>
        <v>832234.5</v>
      </c>
      <c r="AD129" s="61"/>
      <c r="AE129" s="74"/>
      <c r="AF129" s="89">
        <f>AF130+AF131</f>
        <v>686119.1900000001</v>
      </c>
      <c r="AG129" s="130">
        <f t="shared" si="9"/>
        <v>82.44301215582868</v>
      </c>
    </row>
    <row r="130" spans="1:33" ht="42">
      <c r="A130" s="9"/>
      <c r="B130" s="56" t="s">
        <v>220</v>
      </c>
      <c r="C130" s="42">
        <v>723779.5</v>
      </c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2">
        <f>C130</f>
        <v>723779.5</v>
      </c>
      <c r="AD130" s="62"/>
      <c r="AE130" s="75"/>
      <c r="AF130" s="115">
        <f>24211.33+10124.25+10765.51+13157.92+11695.74+9191.49+14350.76+21184.89+15358.73+16539.68+6350+11796.83+18600+6214.66+12544.51+464800+19232.89</f>
        <v>686119.1900000001</v>
      </c>
      <c r="AG130" s="129">
        <f t="shared" si="9"/>
        <v>94.79671502163298</v>
      </c>
    </row>
    <row r="131" spans="1:33" ht="32.25" customHeight="1">
      <c r="A131" s="9"/>
      <c r="B131" s="117" t="s">
        <v>14</v>
      </c>
      <c r="C131" s="42">
        <v>108455</v>
      </c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2">
        <f>C131</f>
        <v>108455</v>
      </c>
      <c r="AD131" s="62"/>
      <c r="AE131" s="75"/>
      <c r="AF131" s="91">
        <v>0</v>
      </c>
      <c r="AG131" s="129">
        <f t="shared" si="9"/>
        <v>0</v>
      </c>
    </row>
    <row r="132" spans="1:33" ht="32.25" customHeight="1">
      <c r="A132" s="118" t="s">
        <v>207</v>
      </c>
      <c r="B132" s="119" t="s">
        <v>219</v>
      </c>
      <c r="C132" s="124">
        <f>C133</f>
        <v>20000000</v>
      </c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  <c r="V132" s="125"/>
      <c r="W132" s="125"/>
      <c r="X132" s="125"/>
      <c r="Y132" s="125"/>
      <c r="Z132" s="125"/>
      <c r="AA132" s="125"/>
      <c r="AB132" s="125"/>
      <c r="AC132" s="124">
        <f>AC133</f>
        <v>20000000</v>
      </c>
      <c r="AD132" s="120"/>
      <c r="AE132" s="121"/>
      <c r="AF132" s="122"/>
      <c r="AG132" s="123"/>
    </row>
    <row r="133" spans="1:33" ht="114.75" customHeight="1">
      <c r="A133" s="9" t="s">
        <v>208</v>
      </c>
      <c r="B133" s="133" t="s">
        <v>221</v>
      </c>
      <c r="C133" s="38">
        <f>AC133</f>
        <v>20000000</v>
      </c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8">
        <v>20000000</v>
      </c>
      <c r="AD133" s="62"/>
      <c r="AE133" s="75"/>
      <c r="AF133" s="90"/>
      <c r="AG133" s="77">
        <f t="shared" si="9"/>
        <v>0</v>
      </c>
    </row>
    <row r="134" spans="1:33" ht="43.5" customHeight="1">
      <c r="A134" s="118" t="s">
        <v>209</v>
      </c>
      <c r="B134" s="126" t="s">
        <v>211</v>
      </c>
      <c r="C134" s="124">
        <f>C135</f>
        <v>16489400</v>
      </c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  <c r="V134" s="125"/>
      <c r="W134" s="125"/>
      <c r="X134" s="125"/>
      <c r="Y134" s="125"/>
      <c r="Z134" s="125"/>
      <c r="AA134" s="125"/>
      <c r="AB134" s="125"/>
      <c r="AC134" s="124">
        <f>AC135</f>
        <v>16489400</v>
      </c>
      <c r="AD134" s="120"/>
      <c r="AE134" s="121"/>
      <c r="AF134" s="122"/>
      <c r="AG134" s="123"/>
    </row>
    <row r="135" spans="1:33" ht="99" customHeight="1">
      <c r="A135" s="9" t="s">
        <v>210</v>
      </c>
      <c r="B135" s="51" t="s">
        <v>214</v>
      </c>
      <c r="C135" s="38">
        <f>AC135</f>
        <v>16489400</v>
      </c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8">
        <v>16489400</v>
      </c>
      <c r="AD135" s="35"/>
      <c r="AE135" s="68"/>
      <c r="AF135" s="94"/>
      <c r="AG135" s="77">
        <f t="shared" si="9"/>
        <v>0</v>
      </c>
    </row>
    <row r="136" spans="1:33" ht="24" customHeight="1">
      <c r="A136" s="139" t="s">
        <v>47</v>
      </c>
      <c r="B136" s="140"/>
      <c r="C136" s="50">
        <f>AC136+AE136</f>
        <v>127936419.46000001</v>
      </c>
      <c r="D136" s="50">
        <f aca="true" t="shared" si="22" ref="D136:AB136">D126+D69+D128</f>
        <v>0</v>
      </c>
      <c r="E136" s="50">
        <f t="shared" si="22"/>
        <v>0</v>
      </c>
      <c r="F136" s="50">
        <f t="shared" si="22"/>
        <v>0</v>
      </c>
      <c r="G136" s="50">
        <f t="shared" si="22"/>
        <v>0</v>
      </c>
      <c r="H136" s="50">
        <f t="shared" si="22"/>
        <v>0</v>
      </c>
      <c r="I136" s="50">
        <f t="shared" si="22"/>
        <v>0</v>
      </c>
      <c r="J136" s="50">
        <f t="shared" si="22"/>
        <v>0</v>
      </c>
      <c r="K136" s="50">
        <f t="shared" si="22"/>
        <v>0</v>
      </c>
      <c r="L136" s="50">
        <f t="shared" si="22"/>
        <v>0</v>
      </c>
      <c r="M136" s="50">
        <f t="shared" si="22"/>
        <v>0</v>
      </c>
      <c r="N136" s="50">
        <f t="shared" si="22"/>
        <v>0</v>
      </c>
      <c r="O136" s="50">
        <f t="shared" si="22"/>
        <v>0</v>
      </c>
      <c r="P136" s="50">
        <f t="shared" si="22"/>
        <v>0</v>
      </c>
      <c r="Q136" s="50">
        <f t="shared" si="22"/>
        <v>0</v>
      </c>
      <c r="R136" s="50">
        <f t="shared" si="22"/>
        <v>0</v>
      </c>
      <c r="S136" s="50">
        <f t="shared" si="22"/>
        <v>0</v>
      </c>
      <c r="T136" s="50">
        <f t="shared" si="22"/>
        <v>0</v>
      </c>
      <c r="U136" s="50">
        <f t="shared" si="22"/>
        <v>0</v>
      </c>
      <c r="V136" s="50">
        <f t="shared" si="22"/>
        <v>0</v>
      </c>
      <c r="W136" s="50">
        <f t="shared" si="22"/>
        <v>0</v>
      </c>
      <c r="X136" s="50">
        <f t="shared" si="22"/>
        <v>0</v>
      </c>
      <c r="Y136" s="50">
        <f t="shared" si="22"/>
        <v>0</v>
      </c>
      <c r="Z136" s="50">
        <f t="shared" si="22"/>
        <v>0</v>
      </c>
      <c r="AA136" s="50">
        <f t="shared" si="22"/>
        <v>0</v>
      </c>
      <c r="AB136" s="50">
        <f t="shared" si="22"/>
        <v>0</v>
      </c>
      <c r="AC136" s="50">
        <f>AC134+AC132+AC128+AC126+AC69</f>
        <v>83670955.02000001</v>
      </c>
      <c r="AD136" s="34">
        <f>AE136</f>
        <v>44265464.44</v>
      </c>
      <c r="AE136" s="65">
        <f>AE6+AE65+AE67+AE69+AE126+AE128</f>
        <v>44265464.44</v>
      </c>
      <c r="AF136" s="95">
        <f>AF128+AF126+AF69+AF67+AF65+AF6</f>
        <v>64881223.37</v>
      </c>
      <c r="AG136" s="76">
        <f t="shared" si="9"/>
        <v>50.713646390803866</v>
      </c>
    </row>
    <row r="137" spans="15:18" ht="12.75">
      <c r="O137" s="8"/>
      <c r="Q137" s="11"/>
      <c r="R137" s="11"/>
    </row>
    <row r="138" spans="1:29" s="4" customFormat="1" ht="18">
      <c r="A138" s="23"/>
      <c r="C138" s="12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13"/>
      <c r="P138" s="5"/>
      <c r="Q138" s="14"/>
      <c r="R138" s="14"/>
      <c r="S138" s="14"/>
      <c r="T138" s="14"/>
      <c r="U138" s="14"/>
      <c r="V138" s="14"/>
      <c r="W138" s="14"/>
      <c r="X138" s="5"/>
      <c r="Y138" s="5"/>
      <c r="Z138" s="5"/>
      <c r="AA138" s="5"/>
      <c r="AB138" s="5"/>
      <c r="AC138" s="5"/>
    </row>
    <row r="139" spans="15:23" ht="12.75">
      <c r="O139" s="8"/>
      <c r="Q139" s="10"/>
      <c r="R139" s="10"/>
      <c r="S139" s="10"/>
      <c r="T139" s="10"/>
      <c r="U139" s="10"/>
      <c r="V139" s="10"/>
      <c r="W139" s="10"/>
    </row>
    <row r="140" spans="1:31" ht="17.25">
      <c r="A140" s="138"/>
      <c r="B140" s="138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13"/>
      <c r="P140" s="5"/>
      <c r="Q140" s="14"/>
      <c r="R140" s="14"/>
      <c r="S140" s="14"/>
      <c r="T140" s="14"/>
      <c r="U140" s="14"/>
      <c r="V140" s="14"/>
      <c r="W140" s="14"/>
      <c r="X140" s="5"/>
      <c r="Y140" s="5"/>
      <c r="Z140" s="5"/>
      <c r="AA140" s="5"/>
      <c r="AB140" s="5"/>
      <c r="AC140" s="5"/>
      <c r="AE140" s="12"/>
    </row>
    <row r="141" ht="12.75">
      <c r="AD141" s="8"/>
    </row>
  </sheetData>
  <sheetProtection/>
  <mergeCells count="10">
    <mergeCell ref="AG4:AG5"/>
    <mergeCell ref="AF4:AF5"/>
    <mergeCell ref="A140:B140"/>
    <mergeCell ref="A136:B136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2018-12-21T06:51:13Z</cp:lastPrinted>
  <dcterms:created xsi:type="dcterms:W3CDTF">2014-01-17T10:52:16Z</dcterms:created>
  <dcterms:modified xsi:type="dcterms:W3CDTF">2018-12-21T11:50:43Z</dcterms:modified>
  <cp:category/>
  <cp:version/>
  <cp:contentType/>
  <cp:contentStatus/>
</cp:coreProperties>
</file>